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90" activeTab="5"/>
  </bookViews>
  <sheets>
    <sheet name="Pokyny pro vyplnění" sheetId="1" r:id="rId1"/>
    <sheet name="Rekapitulace" sheetId="2" r:id="rId2"/>
    <sheet name="VN" sheetId="3" r:id="rId3"/>
    <sheet name="ARC" sheetId="4" r:id="rId4"/>
    <sheet name="Dílčí rozpopčet EI" sheetId="5" r:id="rId5"/>
    <sheet name="Dílčí rozpočet VYT" sheetId="6" r:id="rId6"/>
    <sheet name="Dílčí rozpočet VZT" sheetId="7" r:id="rId7"/>
  </sheets>
  <definedNames>
    <definedName name="cena">'Rekapitulace'!$G$26</definedName>
    <definedName name="CenaCelkemBezDPH">'Rekapitulace'!$G$37</definedName>
    <definedName name="CenaCelkemVypocet" localSheetId="1">'Rekapitulace'!$I$48</definedName>
    <definedName name="dph">'Rekapitulace'!$G$25</definedName>
    <definedName name="DPHSni">'Rekapitulace'!#REF!</definedName>
    <definedName name="DPHZakl">'Rekapitulace'!#REF!</definedName>
    <definedName name="Mena">'Rekapitulace'!#REF!</definedName>
    <definedName name="_xlnm.Print_Titles" localSheetId="3">'ARC'!$6:$7</definedName>
    <definedName name="_xlnm.Print_Titles" localSheetId="5">'Dílčí rozpočet VYT'!$19:$19</definedName>
    <definedName name="_xlnm.Print_Titles" localSheetId="6">'Dílčí rozpočet VZT'!$8:$9</definedName>
    <definedName name="_xlnm.Print_Titles" localSheetId="4">'Dílčí rozpopčet EI'!$16:$18</definedName>
    <definedName name="SazbaDPH1" localSheetId="1">'Rekapitulace'!$E$36</definedName>
    <definedName name="SazbaDPH2" localSheetId="1">'Rekapitulace'!#REF!</definedName>
    <definedName name="ZakladDPHSni">'Rekapitulace'!$G$36</definedName>
    <definedName name="ZakladDPHSniVypocet" localSheetId="1">'Rekapitulace'!#REF!</definedName>
    <definedName name="ZakladDPHZakl">'Rekapitulace'!#REF!</definedName>
    <definedName name="ZakladDPHZaklVypocet" localSheetId="1">'Rekapitulace'!$G$65</definedName>
    <definedName name="Zaokrouhleni">'Rekapitulace'!#REF!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C11" authorId="0">
      <text>
        <r>
          <rPr>
            <sz val="9"/>
            <rFont val="Tahoma"/>
            <family val="2"/>
          </rPr>
          <t>Název</t>
        </r>
      </text>
    </comment>
    <comment ref="H11" authorId="0">
      <text>
        <r>
          <rPr>
            <sz val="9"/>
            <rFont val="Tahoma"/>
            <family val="2"/>
          </rPr>
          <t>IČO</t>
        </r>
      </text>
    </comment>
    <comment ref="C12" authorId="0">
      <text>
        <r>
          <rPr>
            <sz val="9"/>
            <rFont val="Tahoma"/>
            <family val="2"/>
          </rPr>
          <t>Ulice</t>
        </r>
      </text>
    </comment>
    <comment ref="H12" authorId="0">
      <text>
        <r>
          <rPr>
            <sz val="9"/>
            <rFont val="Tahoma"/>
            <family val="2"/>
          </rPr>
          <t>DIČ</t>
        </r>
      </text>
    </comment>
    <comment ref="B13" authorId="0">
      <text>
        <r>
          <rPr>
            <sz val="9"/>
            <rFont val="Tahoma"/>
            <family val="2"/>
          </rPr>
          <t>PSČ</t>
        </r>
      </text>
    </comment>
    <comment ref="C13" authorId="0">
      <text>
        <r>
          <rPr>
            <sz val="9"/>
            <rFont val="Tahoma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<sst xmlns="http://schemas.openxmlformats.org/spreadsheetml/2006/main" count="2247" uniqueCount="992">
  <si>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</si>
  <si>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</si>
  <si>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</si>
  <si>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</si>
  <si>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</si>
  <si>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</si>
  <si>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</si>
  <si>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</si>
  <si>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</si>
  <si>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</si>
  <si>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</si>
  <si>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</si>
  <si>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</si>
  <si>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</si>
  <si>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</si>
  <si>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</si>
  <si>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</si>
  <si>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</si>
  <si>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</si>
  <si>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</si>
  <si>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</si>
  <si>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</si>
  <si>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</si>
  <si>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</si>
  <si>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</si>
  <si>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</si>
  <si>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</si>
  <si>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</si>
  <si>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</si>
  <si>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</si>
  <si>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</si>
  <si>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</si>
  <si>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</si>
  <si>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</si>
  <si>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</si>
  <si>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</si>
  <si>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</si>
  <si>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</si>
  <si>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</si>
  <si>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</si>
  <si>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</si>
  <si>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</si>
  <si>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</si>
  <si>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</si>
  <si>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</si>
  <si>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</si>
  <si>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</si>
  <si>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</si>
  <si>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</si>
  <si>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</si>
  <si>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</si>
  <si>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</si>
  <si>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</si>
  <si>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</si>
  <si>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</si>
  <si>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</si>
  <si>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</si>
  <si>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</si>
  <si>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</si>
  <si>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</si>
  <si>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</si>
  <si>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</si>
  <si>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</si>
  <si>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</si>
  <si>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</si>
  <si>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</si>
  <si>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</si>
  <si>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</si>
  <si>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</si>
  <si>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</si>
  <si>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</si>
  <si>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</si>
  <si>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</si>
  <si>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</si>
  <si>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</si>
  <si>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</si>
  <si>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</si>
  <si>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</si>
  <si>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</si>
  <si>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</si>
  <si>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</si>
  <si>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</si>
  <si>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</si>
  <si>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</si>
  <si>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</si>
  <si>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</si>
  <si>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</si>
  <si>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</si>
  <si>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</si>
  <si>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</si>
  <si>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</si>
  <si>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</si>
  <si>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</si>
  <si>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</si>
  <si>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</si>
  <si>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</si>
  <si>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</si>
  <si>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</si>
  <si>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</si>
  <si>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</si>
  <si>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</si>
  <si>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</si>
  <si>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</si>
  <si>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</si>
  <si>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</si>
  <si>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</si>
  <si>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</si>
  <si>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</si>
  <si>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</si>
  <si>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</si>
  <si>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</si>
  <si>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</si>
  <si>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</si>
  <si>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</si>
  <si>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</si>
  <si>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</si>
  <si>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</si>
  <si>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</si>
  <si>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</si>
  <si>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</si>
  <si>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</si>
  <si>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</si>
  <si>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</si>
  <si>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</si>
  <si>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</si>
  <si>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</si>
  <si>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</si>
  <si>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</si>
  <si>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</si>
  <si>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</si>
  <si>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</si>
  <si>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</si>
  <si>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</si>
  <si>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</si>
  <si>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</si>
  <si>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</si>
  <si>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</si>
  <si>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</si>
  <si>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</si>
  <si>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</si>
  <si>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</si>
  <si>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</si>
  <si>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</si>
  <si>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</si>
  <si>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</si>
  <si>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</si>
  <si>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</si>
  <si>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</si>
  <si>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</si>
  <si>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</si>
  <si>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</si>
  <si>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</si>
  <si>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</si>
  <si>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</si>
  <si>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</si>
  <si>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</si>
  <si>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</si>
  <si>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</si>
  <si>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</si>
  <si>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</si>
  <si>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</si>
  <si>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</si>
  <si>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</si>
  <si>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</si>
  <si>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</si>
  <si>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</si>
  <si>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</si>
  <si>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</si>
  <si>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</si>
  <si>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</si>
  <si>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</si>
  <si>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</si>
  <si>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</si>
  <si>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</si>
  <si>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</si>
  <si>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</si>
  <si>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</si>
  <si>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</si>
  <si>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</si>
  <si>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</si>
  <si>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</si>
  <si>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</si>
  <si>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</si>
  <si>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</si>
  <si>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</si>
  <si>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</si>
  <si>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</si>
  <si>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</si>
  <si>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</si>
  <si>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</si>
  <si>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</si>
  <si>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</si>
  <si>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Poznámka:</t>
  </si>
  <si>
    <t>Kód</t>
  </si>
  <si>
    <t>139601102R00</t>
  </si>
  <si>
    <t>132201119R00</t>
  </si>
  <si>
    <t>175101101RT2</t>
  </si>
  <si>
    <t>131201119R00</t>
  </si>
  <si>
    <t>181101111R00</t>
  </si>
  <si>
    <t>131201110R00</t>
  </si>
  <si>
    <t>174201101R00</t>
  </si>
  <si>
    <t>162201203R00</t>
  </si>
  <si>
    <t>162201210R00</t>
  </si>
  <si>
    <t>161101501R00</t>
  </si>
  <si>
    <t>167101101R00</t>
  </si>
  <si>
    <t>167101103R00</t>
  </si>
  <si>
    <t>162701105R00</t>
  </si>
  <si>
    <t>199000002R00</t>
  </si>
  <si>
    <t>174101102R00</t>
  </si>
  <si>
    <t>583415064</t>
  </si>
  <si>
    <t>174101101R00</t>
  </si>
  <si>
    <t>63483000</t>
  </si>
  <si>
    <t>212810010RAC</t>
  </si>
  <si>
    <t>274313621R00</t>
  </si>
  <si>
    <t>274272130RT3</t>
  </si>
  <si>
    <t>274361821R00</t>
  </si>
  <si>
    <t>311271517R00</t>
  </si>
  <si>
    <t>311238124R00</t>
  </si>
  <si>
    <t>310100011RAA</t>
  </si>
  <si>
    <t>328213222R00</t>
  </si>
  <si>
    <t>331231116RT2</t>
  </si>
  <si>
    <t>340100011RAB</t>
  </si>
  <si>
    <t>349231821R00</t>
  </si>
  <si>
    <t>411238211R00</t>
  </si>
  <si>
    <t>411121232RT2</t>
  </si>
  <si>
    <t>413</t>
  </si>
  <si>
    <t>413200</t>
  </si>
  <si>
    <t>13331512</t>
  </si>
  <si>
    <t>13380510</t>
  </si>
  <si>
    <t>13380520</t>
  </si>
  <si>
    <t>13331732</t>
  </si>
  <si>
    <t>13380515</t>
  </si>
  <si>
    <t>417320020RAB</t>
  </si>
  <si>
    <t>411121221RT4</t>
  </si>
  <si>
    <t>411121243RT2</t>
  </si>
  <si>
    <t>413320020RAA</t>
  </si>
  <si>
    <t>413941123R00</t>
  </si>
  <si>
    <t>13380530</t>
  </si>
  <si>
    <t>411354236R00</t>
  </si>
  <si>
    <t>411351101RT1</t>
  </si>
  <si>
    <t>411322325R00</t>
  </si>
  <si>
    <t>411362021R00</t>
  </si>
  <si>
    <t>411354171R00</t>
  </si>
  <si>
    <t>411354172R00</t>
  </si>
  <si>
    <t>413100010RAB</t>
  </si>
  <si>
    <t>13480810</t>
  </si>
  <si>
    <t>430321314R00</t>
  </si>
  <si>
    <t>430362021R00</t>
  </si>
  <si>
    <t>433351131R00</t>
  </si>
  <si>
    <t>433351132R00</t>
  </si>
  <si>
    <t>434351141R00</t>
  </si>
  <si>
    <t>434351142R00</t>
  </si>
  <si>
    <t>451971112R00</t>
  </si>
  <si>
    <t>469211</t>
  </si>
  <si>
    <t>596215020R00</t>
  </si>
  <si>
    <t>564851111R00</t>
  </si>
  <si>
    <t>591210011RAA</t>
  </si>
  <si>
    <t>612420016RAA</t>
  </si>
  <si>
    <t>612425931RT2</t>
  </si>
  <si>
    <t>627452141R00</t>
  </si>
  <si>
    <t>627452111R00</t>
  </si>
  <si>
    <t>622311522RV1</t>
  </si>
  <si>
    <t>622311522RT1</t>
  </si>
  <si>
    <t>627451641RT3</t>
  </si>
  <si>
    <t>622311519RU1</t>
  </si>
  <si>
    <t>631416211RT1</t>
  </si>
  <si>
    <t>631319181R00</t>
  </si>
  <si>
    <t>631416212RT1</t>
  </si>
  <si>
    <t>631319183R00</t>
  </si>
  <si>
    <t>642944121R00</t>
  </si>
  <si>
    <t>642202011RA0</t>
  </si>
  <si>
    <t>553306330</t>
  </si>
  <si>
    <t>642202011RAA</t>
  </si>
  <si>
    <t>553306</t>
  </si>
  <si>
    <t>553306340</t>
  </si>
  <si>
    <t>553306321</t>
  </si>
  <si>
    <t>642952121R00</t>
  </si>
  <si>
    <t>611812</t>
  </si>
  <si>
    <t>642952221R00</t>
  </si>
  <si>
    <t>642202012RA0</t>
  </si>
  <si>
    <t>611181</t>
  </si>
  <si>
    <t>917882111R00</t>
  </si>
  <si>
    <t>59217012</t>
  </si>
  <si>
    <t>941955001R00</t>
  </si>
  <si>
    <t>952901111R00</t>
  </si>
  <si>
    <t>H99</t>
  </si>
  <si>
    <t>999281105R00</t>
  </si>
  <si>
    <t>711</t>
  </si>
  <si>
    <t>711131101RZ1</t>
  </si>
  <si>
    <t>711132101RZ3</t>
  </si>
  <si>
    <t>711801002RT1</t>
  </si>
  <si>
    <t>711111001RZ1</t>
  </si>
  <si>
    <t>711141559RZ3</t>
  </si>
  <si>
    <t>998711101R00</t>
  </si>
  <si>
    <t>713</t>
  </si>
  <si>
    <t>713111111RT1</t>
  </si>
  <si>
    <t>283763606</t>
  </si>
  <si>
    <t>724</t>
  </si>
  <si>
    <t>764</t>
  </si>
  <si>
    <t>764211</t>
  </si>
  <si>
    <t>766</t>
  </si>
  <si>
    <t>766-6a</t>
  </si>
  <si>
    <t>766-6b</t>
  </si>
  <si>
    <t>766-7</t>
  </si>
  <si>
    <t>766-8</t>
  </si>
  <si>
    <t>998766101R00</t>
  </si>
  <si>
    <t>767</t>
  </si>
  <si>
    <t>767646</t>
  </si>
  <si>
    <t>998767101R00</t>
  </si>
  <si>
    <t>772</t>
  </si>
  <si>
    <t>772230010RAB</t>
  </si>
  <si>
    <t>772500010RAB</t>
  </si>
  <si>
    <t>998001011R00</t>
  </si>
  <si>
    <t>777</t>
  </si>
  <si>
    <t>777615213R00</t>
  </si>
  <si>
    <t>M21</t>
  </si>
  <si>
    <t>728</t>
  </si>
  <si>
    <t>731</t>
  </si>
  <si>
    <t>1131062</t>
  </si>
  <si>
    <t>962036145R00</t>
  </si>
  <si>
    <t>973031151R00</t>
  </si>
  <si>
    <t>967031132R00</t>
  </si>
  <si>
    <t>968072455R00</t>
  </si>
  <si>
    <t>971033591R00</t>
  </si>
  <si>
    <t>975022441R00</t>
  </si>
  <si>
    <t>962031133R00</t>
  </si>
  <si>
    <t>971033641R00</t>
  </si>
  <si>
    <t>973031844R00</t>
  </si>
  <si>
    <t>975043121R00</t>
  </si>
  <si>
    <t>973031325R00</t>
  </si>
  <si>
    <t>S</t>
  </si>
  <si>
    <t>979011221R00</t>
  </si>
  <si>
    <t>979087311R00</t>
  </si>
  <si>
    <t>979087391R00</t>
  </si>
  <si>
    <t>979095312R00</t>
  </si>
  <si>
    <t>979083116R00</t>
  </si>
  <si>
    <t>979990001R00</t>
  </si>
  <si>
    <t>Zkrácený popis</t>
  </si>
  <si>
    <t>Rozměry</t>
  </si>
  <si>
    <t>Zemní práce</t>
  </si>
  <si>
    <t>Ruční výkop rýh v hornině tř.3 - pro VZT potrubí - místn.0.01, 0.03, 0.04</t>
  </si>
  <si>
    <t>Příplatek za lepivost - hloubení rýh 60 cm v hor.3</t>
  </si>
  <si>
    <t>Obsyp potrubí VZT se zhutn. s dodáním štěrkopísku fr.0-16 mm - místn. 0.01, 0.03, 0.04</t>
  </si>
  <si>
    <t>Ruční výkop jam, v hornině tř.3 - pro podklad. vrstvy a bet. dlažbu - místn.0.05 až 0.07</t>
  </si>
  <si>
    <t>Příplatek za lepivost - hloubení nezap.jam v hor.3</t>
  </si>
  <si>
    <t>Úprava spáry po výkopu, odkopu se zhutněním - ručně - místn.0.05 až 0.07</t>
  </si>
  <si>
    <t>Ruční výkop rýh v hornině tř.3 - pro VZT potrubí  - míst.0.05 až 0.07</t>
  </si>
  <si>
    <t>Obsyp potrubí VZT se zhutn. s dodáním štěrkopísku fr.0-16 mm - místn. 0.05 až 0.07</t>
  </si>
  <si>
    <t>Ruční výkop rýh a šachet v hornině tř.3 - 1.PP, místn. 0.07,zákl. pas pro zěné pilíře</t>
  </si>
  <si>
    <t>Hloubení nezapaž. jam hor.3 do 50 m3, STROJNĚ - nad klenbou pro VZT</t>
  </si>
  <si>
    <t>Ruční výkop jam v hornině tř.3, vč. očištění - nad klenbou VZT</t>
  </si>
  <si>
    <t>Ruční výkop  rýh a v hornině tř.3 pro drenáž - kolem klenby nad VZT</t>
  </si>
  <si>
    <t>Zásyp jam, rýh, šachet bez zhutnění - nad klenbou místn. pro VZT</t>
  </si>
  <si>
    <t>Ruční výkop šachet v hornině tř.3 - 1.PP, zasypaný a zazděný sklep</t>
  </si>
  <si>
    <t>Ruční výkop rýh v hornině tř.3 - 1.PP, pro zákl. pasy pro schod. a dělicí stěnu</t>
  </si>
  <si>
    <t>Přemístění výkopku</t>
  </si>
  <si>
    <t>Konstrukce ze zemin</t>
  </si>
  <si>
    <t>Zásyp ruční se zhutněním - rýha u výklenku v místn.0.06</t>
  </si>
  <si>
    <t>Zásyp jam, se zhutněním pěnovým sklem - nad klenbou místn. pro VZT</t>
  </si>
  <si>
    <t>Úprava podloží a základové spáry</t>
  </si>
  <si>
    <t>Trativody z PVC drenáž. flexibil. trubek d 100 mm, lože + obsyp štěrkop. - kolem klenby nad VZT</t>
  </si>
  <si>
    <t>Základy</t>
  </si>
  <si>
    <t>Beton základov. pasů prostý C 20/25, do výkopu - 1.PP, místn.0.07, pro zděné pilíře</t>
  </si>
  <si>
    <t>Beton základov. pasů prostý C 20/25, přípl. 8% za bet. do výkopu - 1.PP, místn.0.07, pro zděné pilíře</t>
  </si>
  <si>
    <t>Beton základov. pasů prostý C 20/25, do výkopu - 1.PP, místn.0.10 a 0.11, pro schod. a zdivo</t>
  </si>
  <si>
    <t>Beton základov. pasů prostý C 20/25, přípl. 8% za bet. do výkopu - 1.PP, místn.0.10 a 0.11, pro schod. a zdivo</t>
  </si>
  <si>
    <t>Zdivo zákl. z bedn. tvárnic, tl.25 cm - 1.PP, místn.0.10 a 0.11, pod schodiště a zdivo</t>
  </si>
  <si>
    <t>Výztuž do betonov. stěny z bedn. tvárnic z bet. oceli 10 505 - 1.PP, místn.0.10 a 0.11, pod schodiště</t>
  </si>
  <si>
    <t>Zdi podpěrné a volné</t>
  </si>
  <si>
    <t>Příplatek za zálivku spár PZD desek na stropě - komínek VZT</t>
  </si>
  <si>
    <t>Zazdívka a obezdění I č.16 na ŽB věnci, tl.25 cm - 1.PP, zed´mezi místn.0.10 a0.11</t>
  </si>
  <si>
    <t>Zdivo nadzákl. šachet, z plných cihel na MC 10 - komínek VZT</t>
  </si>
  <si>
    <t>Sloupy a pilíře, stožáry a rámové stojky</t>
  </si>
  <si>
    <t>Zdivo pilířů cihel. z CP 29 P15 na MC 10 - 1.PP, místn. 0.07</t>
  </si>
  <si>
    <t>Stěny a příčky</t>
  </si>
  <si>
    <t>Zazdívka otvoru z cihel tl.15 cm, plochy do 1 m2 - 1.NP, místn. 1.23, 1.24</t>
  </si>
  <si>
    <t>Zazdívka otvoru z cihel tl.15 cm, plochy do 1 m2 - 1.PP, místn. 0.04, 1.23</t>
  </si>
  <si>
    <t>Přizdívka ostění (tl.20 cm) z plných cihel, kapsy do 15 cm -1.NP, u dveří "7L"</t>
  </si>
  <si>
    <t>Stropy a stropní konstrukce (pro pozemní stavby)</t>
  </si>
  <si>
    <t>Zazdívka výklenku do 1 m2 v klenbě cihlami tl.do 15 cm - v místn. 0.06</t>
  </si>
  <si>
    <t>Osazov. strop. desek š.do 60, dl. do 180 cm, vč. dod. PZD 119x29x9 cm - komínek VZT</t>
  </si>
  <si>
    <t>Překlad nad dveřmi 15x10 cm, beton C 16/20, vyztuž. ocelov. nos.  - 1.PP, "P01", místn. 0.06 a 0.07</t>
  </si>
  <si>
    <t>Dodateč. osaz.válcov. nosníků, vysekání kapes - 1.PP, "P01", místn.0.06 a 0.07</t>
  </si>
  <si>
    <t>Úhelník rovnoram.L jakost 11373 50x50x5 mm - 1.PP, "P01", místn.0.06 a 0.07</t>
  </si>
  <si>
    <t>Překlad nad nikou pro el.kotel, 50x20 cm,beton C 16/20, vyztuž. ocelov. nos. - 1.PP, "P02" místn.č.0.06</t>
  </si>
  <si>
    <t>Dodateč. osaz. válcov. nosníků, vysekání kapes - 1.PP, "P02", místn.0.06</t>
  </si>
  <si>
    <t>Tyč průřezu I  80, střední, jakost oceli 11373 - 1.PP, "P02", místn.0.06</t>
  </si>
  <si>
    <t>Překlad 130x22 cm bet. C25/30, vyztuž. ocelov. nos. - 1.PP, "P03" otvor pro VZT místn. 0.06 a 0.07</t>
  </si>
  <si>
    <t>Dodateč. osaz. válcov. nosníků, vysekání kapes - 1.PP, "P03" otvor pro VZT místn.0.06 a 0.07</t>
  </si>
  <si>
    <t>Tyč průřezu I 120, střední, jakost oceli 11373 - 1.PP, "P03" otvor pro VZT</t>
  </si>
  <si>
    <t>Překlad 15x10 cm nad dveřmi, beton C 16/20, výztuž. ocelov. nos. - 1.PP, "P04" místn.0.06 a 0.10</t>
  </si>
  <si>
    <t>Dodateč. osaz. válcov. nosníků, vysekání kapes - 1.PP. "P04" místn. 0.06 a 0.10</t>
  </si>
  <si>
    <t>Úhelník rovnoramenný L jakost 11375   60x60x6 mm - 1.PP, "P04", místn. 0.06 a 0.10</t>
  </si>
  <si>
    <t>Překl. nad dveř. 15x10 cm, bet. C 16/20, vyztuž. ocelov. nos. - 1.PP, "P05", místn.0.04 a 0.11</t>
  </si>
  <si>
    <t>Dodateč. osaz. válcov. nosníků, vysekání kapes - 1.PP, "P05", místn. 0.04 a 0.11</t>
  </si>
  <si>
    <t>Tyč průřezu I 100, střední, jakost oceli 11373 - 1.PP, "P05", místn. 0.04 a 0.11</t>
  </si>
  <si>
    <t>Ztuž. věnec ŽB bet. C 12/15, 25 x 15 cm, vč. bedn. a výzt. - 1.PP, na zdivu mezi místn.0.10 a 0.11</t>
  </si>
  <si>
    <t>Osazov. strop. desek š. do 60, dl. do 90 cm, vč. dod. PZD 11/10  89/29/65 - 1.PP schodiště</t>
  </si>
  <si>
    <t>Osazov. strop. desek š. do 60, dl. do 270 cm, vč. dod. PZD 31/10 209/29/9 - 1.PP, schodiště</t>
  </si>
  <si>
    <t>Překlad strop. ŽB beton C 12/15, 20x30 cm, vč. bedn. a výztuž. - 1.PP, pro zdivo komínku VZT</t>
  </si>
  <si>
    <t>Osazení válcov. nosn. ve stropech č.14 - 22 - 1.PP, strop v místn.0.11</t>
  </si>
  <si>
    <t>Tyč průřezu I 160, střední, jakost oceli 11373 - 1.PP, strop v místn.0.11</t>
  </si>
  <si>
    <t>Bednění stropů plech lesklý, vlna 40 mm tl.1,0 mm - 1.PP, strop v místn.0.11</t>
  </si>
  <si>
    <t>Bednění stropů deskov. z prken, boční strana -zřízení - 1.PP, strop v místn.0.11</t>
  </si>
  <si>
    <t>Stropy trámové ze železobet. C 20/25 - 1.PP, strop v místn.0.11</t>
  </si>
  <si>
    <t>Výztuž stropů svařov. sítí z sítí Kari, profil 8 mm, oka 150/150 mm - 1.PP, strop v místn.0.11</t>
  </si>
  <si>
    <t>Podpěrná konstr. stropů do 5 kPa - zřízení - 1.PP, strop v místn.0.11</t>
  </si>
  <si>
    <t>Podpěrná konstr. stropů do 5 kPa - odstranění - 1.PP, strop v místn.0.11</t>
  </si>
  <si>
    <t>Zazdívka zhlaví válcov. nos. cihlami, nos. výšky do 30 mm - 1.PP, I č.16 pro strop v místn.0.11</t>
  </si>
  <si>
    <t>Překlad 60x20 cm, bet. C25/30, vyztuž. ocelov. nos. - 1.NP, "P06", nad venkov. dveřmi</t>
  </si>
  <si>
    <t>Dodatečné osaz. válcov. nosníků, vysekání kapes - 1.NP, "P06", nad venkov. dveřmi</t>
  </si>
  <si>
    <t>Tyč průřezu I 180, hrubé, jakost oceli 11373 - 1.NP, "P06", nad venkov. dveřmi</t>
  </si>
  <si>
    <t>Schodiště</t>
  </si>
  <si>
    <t>Schodišťové konstrukce, železobeton C 20/25</t>
  </si>
  <si>
    <t>Výztuž schodišťov. konstr. sítí Kari, profil 8 mm, oka 150/150 mm</t>
  </si>
  <si>
    <t>Bednění schodnic přímočarých - zřízení</t>
  </si>
  <si>
    <t>Bednění schodnic přímočarých - odstranění</t>
  </si>
  <si>
    <t>Bednění stupňů přímočarých - zřízení</t>
  </si>
  <si>
    <t>Bednění stupňů přímočarých - odstranění</t>
  </si>
  <si>
    <t>Podkladní a vedlejší konstrukce</t>
  </si>
  <si>
    <t>Polož. vrstvy z geotex., vč. uchycení a dod. - nad klenbou místn. VZT, mezi pěnov. sklem a zeminou</t>
  </si>
  <si>
    <t>Zpevněné plochy</t>
  </si>
  <si>
    <t>Osaz. stupně 15/31/270 cm z lom.kamene, lože z kamen.těž. - 1.PP, místn.0.06 a 0.04</t>
  </si>
  <si>
    <t>Osaz. stupně 31/15/97 cm z lom. kamene, lože z kamen. těž. - 1.PP, místn. 0.05 a 0.01</t>
  </si>
  <si>
    <t>Dlažby a předlažby pozemních komunikací a zpevněných ploch</t>
  </si>
  <si>
    <t>Kladení betonov. dlažby tl.4 cm do drtě tl. 3 cm - 1.PP, místn.0.01, 0.03, 0.04</t>
  </si>
  <si>
    <t>Podklad ze štěrkodrti po zhutn. tl.15 cm - 1.PP, místn.0.01, 0.03, 0.04</t>
  </si>
  <si>
    <t>Podklad ze štěrkodrti po zhutn. tl.15 cm - 1.PP, místn.0.05 až 0.07</t>
  </si>
  <si>
    <t>Podklad ze štěrkodrti po zhutn. tl.15 cm - 1.PP, místn.0.10 a 0.11</t>
  </si>
  <si>
    <t>Komunikace z kostky kamenné, tl.12 cm, štěrkodrt´ 50+200 mm</t>
  </si>
  <si>
    <t>Úprava povrchů vnitřní</t>
  </si>
  <si>
    <t>Omítka stěn vnitř. vápenocement. štukov., vč. lešení - 1.PP, místn. š.0.10 a 0.11</t>
  </si>
  <si>
    <t>Omítka stěn vnitř. vápenocement. štukov. vč. lešení - 1.NP, schodiště a čast místn.1.27</t>
  </si>
  <si>
    <t>Omítka vápenná vnitřního ostění - štuková - 1.PP, místn.0.06, nika pro elektrokotel</t>
  </si>
  <si>
    <t>Úprava povrchů</t>
  </si>
  <si>
    <t>Spárov. maltou MCs zapušt. rovné, kleneb z cihel - místn.0.01 až 0.07</t>
  </si>
  <si>
    <t>Spárov. maltou MCs zapušt. rovné, zdí (výklenku s klenbou) z cihel - místn. 0.06</t>
  </si>
  <si>
    <t>Očistit klenbu a opravit spárov., cca na 40% plochy - vnější klenba nad VZT</t>
  </si>
  <si>
    <t>Podlahy a podlahové konstrukce</t>
  </si>
  <si>
    <t>Mazanina betonová, ve spádu tl.3-10 cm - nad klenbou místn. pro VZT</t>
  </si>
  <si>
    <t>Příplatek za sklon a v oblouku mazaniny  tl.3-10 cm - nad klenbou místn. pro VZT</t>
  </si>
  <si>
    <t>Mazanina betonová, ve spádu tl.7- 16 cm - 1.NP, část místn.1.27</t>
  </si>
  <si>
    <t>Příplatek za sklon mazaniny 15°-35°, tl.7-16 cm - 1.NP, část místn.1.27</t>
  </si>
  <si>
    <t>Výplně otvorů</t>
  </si>
  <si>
    <t>Osazení ocelov. zárubní dodatečně do 2,5 m2 - 1.PP "1L" místn. 0.06, 0.07</t>
  </si>
  <si>
    <t>Zazdění dveří jednokř. vč, kapes pro zdivo a překl. - 1PP "1L" místn. 0.06, 0.07</t>
  </si>
  <si>
    <t>Zárubeň ocelová H 145 DV 900x1970x145 L - 1.PP "1L" místn. 0.06, 0.07</t>
  </si>
  <si>
    <t>Osazení ocelov. zárubní dodateč. do 2,5 m2 - 1.PP "2L", pro elektrokotel, místn.0.06</t>
  </si>
  <si>
    <t>Zazdění dveří jednokř., vč. kapes  - 1.PP "2L",pro el.kotel, místn. 0.06</t>
  </si>
  <si>
    <t>Zárubeň ocelová H 95 DV 700x120x95 L - 1.PP,"2L" pro el.kotel, místn. 0.06</t>
  </si>
  <si>
    <t>Osazení ocelov. zárubní dodatečně do 2,5 m2 - 1.PP, "3L", místn.0.06 a0.10</t>
  </si>
  <si>
    <t>Zazdění dveří jednokř. vč. kapes pro zdivo a překl. - 1.PP "3L" místn. 0.06, 0.10</t>
  </si>
  <si>
    <t>Zárubeň ocelová H 145 DV 1100x1970x145 L - 1.PP, "3L", místn. 0.06 a0.10</t>
  </si>
  <si>
    <t>Osazení ocelov. zárubní dodatečně do 2,5 m2 - 1.PP "1aL", místn. 0.04 a 0.11</t>
  </si>
  <si>
    <t>Zazdění dveří jednokří. vč. kapes pro zdivo a překl. - 1.PP, "1aL", místn. 0.04 a 0.11</t>
  </si>
  <si>
    <t>Zárubeň ocelov.H 145 DV 900x1970x145 L - 1.PP, "1aL", místn.0.04 a 0.11</t>
  </si>
  <si>
    <t>Osazení ocelov. zárubní dodatečně do 2,5 m2 - 1.NP, "4L", místn.1.24 a sklep</t>
  </si>
  <si>
    <t>Zazdění dveří jednokř., vč. kapes pro zdivo a překl. - 1.NP, "4L", místn.1.24 a sklep</t>
  </si>
  <si>
    <t>Zárubeň ocelov. H 145 DV 900x1970x145 L - 1.NP, "4L", místn.1.24 a sklep</t>
  </si>
  <si>
    <t>Osazení ocelov. zárubní dodatečně do 2,5 m2 - 1.NP, "5P", místn.1.24 a atelier</t>
  </si>
  <si>
    <t>Zazdění dveří jednokří., vč. kapes pro zdivo a překl. - 1.NP, "5P", místn.1.24 a atelier</t>
  </si>
  <si>
    <t>Zárubeň ocelov. H 145 DV 800x1970x145 P - 1.NP, "5P", místn.1.24 a atelier</t>
  </si>
  <si>
    <t>Dodatečné osaz.dřev.zárubní hoblovan.,pl.do 2,5 m2 - 1.NP, "7L", venkov. dveře</t>
  </si>
  <si>
    <t>Zazdění dveří jednokř., omítka, vč. kapes pro zdivo a překl. - 1.NP, "7L", venkov. dveře</t>
  </si>
  <si>
    <t>Zárubeň rámová pro dveře 1křídlové 110x2050 cm, profilov. těsnění</t>
  </si>
  <si>
    <t>Dodatečné osaz.dřev.zárubní hoblovan.,pl.nad 2,5m2 - 1.NP, "8", venkov. dveře</t>
  </si>
  <si>
    <t>Zazdění dveří dvoukř., omítka, vč. kapes pro zdivo a překl. - 1.NP, "8", venkov. dveře</t>
  </si>
  <si>
    <t>Zárubeň rámová pro dveře 2křídlové 2400x1050 mm</t>
  </si>
  <si>
    <t>Doplňující konstrukce a práce na pozemních komunikacích a zpevněných plochách</t>
  </si>
  <si>
    <t>Osazení obrubníku bet. silniční, lože C 12/15</t>
  </si>
  <si>
    <t>Obrubník silniční betonový 150x300x1000 mm</t>
  </si>
  <si>
    <t>Lešení a stavební výtahy</t>
  </si>
  <si>
    <t>Lešení lehké pomocné, výška podlahy do 1,2 m</t>
  </si>
  <si>
    <t>Různé dokončovací konstrukce a práce na pozemních stavbách</t>
  </si>
  <si>
    <t>Vyčištění budov o výšce podlaží do 4 m</t>
  </si>
  <si>
    <t>Ostatní přesuny hmot</t>
  </si>
  <si>
    <t>Přesun hmot pro opravy a údržbu do výšky 6 m</t>
  </si>
  <si>
    <t>Izolace proti vodě</t>
  </si>
  <si>
    <t>Izol. proti vlhkosti vodorov. pásy na sucho, vč. dod. A330/H - 1.PP, místn.0.07, mezi nový základ a okolní konstr.</t>
  </si>
  <si>
    <t>Izolace proti vlhkosti vodorov.pásy na sucho, vč. dod. A330/H - 1.PP, místn.0.10 a 0.11, mezi základy a zdivo</t>
  </si>
  <si>
    <t>Izolace proti vlhkosti vodor. nátěr ALP za studena, vč. dod. laku - 1.NP, část místn.1.27</t>
  </si>
  <si>
    <t>Přesun hmot pro izolace proti vodě, výšky do 6 m</t>
  </si>
  <si>
    <t>Izolace tepelné</t>
  </si>
  <si>
    <t>Izolace tepel. stropů vrchem kladené volně, 1 vrstva - komínek VZT</t>
  </si>
  <si>
    <t>Strojní vybavení</t>
  </si>
  <si>
    <t>M+D čerpadla vč. potrubí</t>
  </si>
  <si>
    <t>Konstrukce klempířské</t>
  </si>
  <si>
    <t>Krytina hladká, lakovaným AL plechem do 30° - komínek VZT</t>
  </si>
  <si>
    <t>Konstrukce truhlářské</t>
  </si>
  <si>
    <t>Úprava vstupních 2kř. dřev. dveří 1600x2080x500 - 1.NP, "6L", místn.1.23</t>
  </si>
  <si>
    <t>Úprava dřev. dveří 2kř. 1600x2080+500 - 1.NP, "6L", místn.1.24</t>
  </si>
  <si>
    <t>D+M dřev. dveře 1kř., 1100x2050, tepel. izol., masiv dub, zámek FAB - 1.NP, "7L", venkov. dveře</t>
  </si>
  <si>
    <t>D+M dřev. dveře 2kř., 2400x2050, tepel. izol., masiv. dub, zámek FAB - 1.NP, "8", venkov. dveře</t>
  </si>
  <si>
    <t>Přesun hmot pro truhlářské konstr., výšky do 6 m</t>
  </si>
  <si>
    <t>Konstrukce doplňkové stavební (zámečnické)</t>
  </si>
  <si>
    <t>D+M Ocelov. dveře 1kř.900x1970, se zvýš. neprůzv., zámek FAB - 1.PP, "1L" místn. 0,06 a 0.07</t>
  </si>
  <si>
    <t>D+M ocelov. dveře 1kř.700x1200, se zvýš. neprůzv., zámek FAB - 1.PP "2L" pro el.kotel, místn. 0.06</t>
  </si>
  <si>
    <t>D+M protipož. ocel. dveří EI 30, 1kř. 110x197 cm se zvýš. neprůzv. - 1.PP, "3L", místn. 0.06 a 0.10</t>
  </si>
  <si>
    <t>D+M ocel. dveře 1kř.900x1970, se zvýš. neprůzv. větr. mřížky, zámek FAB - 1.PP, "1aL" místn. 0.04 a 0.11</t>
  </si>
  <si>
    <t>D+M protipož. ocel. dveří EI 30, 1kř. 90x197 cm se zvýš. neprůzv. - 1NP, "4L", místn.1.24 a sklep</t>
  </si>
  <si>
    <t>D+M protipož. ocel. dveří EI 30, 1kř. 80x197 cm - 1.NP, "5P", místn.1.24 a atelier</t>
  </si>
  <si>
    <t>M+D Ocelov. trubkov. zábradlí, žárově zinkované, kotvené chem. kotvami - 1.PP, místn.0.10</t>
  </si>
  <si>
    <t>Přesun hmot pro zámečnické konstr., výšky do 6 m</t>
  </si>
  <si>
    <t>Podlahy z přírodního a konglomerovaného kamene</t>
  </si>
  <si>
    <t>Obklad schodů deskami z kamene, nástup. a podstup. leštěná žula tl.3 cm</t>
  </si>
  <si>
    <t>Dlažba podest z přírodního kamene, leštěná žula tl.3 cm</t>
  </si>
  <si>
    <t>Přesun hmot pro piloty betonované na místě</t>
  </si>
  <si>
    <t>Podlahy ze syntetických hmot</t>
  </si>
  <si>
    <t>Elektroinstalace</t>
  </si>
  <si>
    <t>Vzduchotechnika</t>
  </si>
  <si>
    <t>Ústřední vytápění</t>
  </si>
  <si>
    <t>Bourání konstrukcí</t>
  </si>
  <si>
    <t>Rozebrání dlažeb ze zámkov. dlažby v kamenivu, vč. očištění pro zpětné použití - pro VZT, místn. 0.01 až 0.04</t>
  </si>
  <si>
    <t>Demontáž stávajicí sádrokartonov. stěny - místn. 0.04 a 0.06</t>
  </si>
  <si>
    <t>Vysekání výklenků zeď cihel. MVC, pl. nad 0,25 m2 - místn. 0.07, komínek pro VZT</t>
  </si>
  <si>
    <t>Přisekání rovných ostění cihelných na MVC - místn.0.07 komínek pro VZT</t>
  </si>
  <si>
    <t>Vybourání kovov. dveř. zárubní pl.do 2 m2 - "1L" mezi místn. 0.06 a 0.07</t>
  </si>
  <si>
    <t>Vysekání výklenků (nik) zeď cihel. MVC, pl. nad 0,25 m2 - 1.PP, místn. 0.06, nika pro elektrokotel</t>
  </si>
  <si>
    <t>Přisekání rovných ostění cihelných na MVC - 1.PP, místn.0.06, nika pro elektrokotel</t>
  </si>
  <si>
    <t>Vybour. otv. zeď cihel. pl.1 m2, nad 90cm, MVC - 1.PP, místn. 0.06 a 0.07, pro VZT</t>
  </si>
  <si>
    <t>Přisekání rovných ostění cihelných na MVC - 1.PP, místn. 0.06 a 0.07, pro VZT</t>
  </si>
  <si>
    <t>Podchycení zdiva výztuhou do 3 m,zdi 90 cm do 3 m - 1.PP, místn. 0.06 a 0.07, otvor pro VZT</t>
  </si>
  <si>
    <t>Bourání příček cihelných tl. 15 cm - 1.PP, místn.0.06 a 0.10</t>
  </si>
  <si>
    <t>Přisekání rovných ostění cihelných na MVC - 1.PP, místn. 0.06 a 0.10</t>
  </si>
  <si>
    <t>Vybour. otv. zeď cihel. pl.4 m2, tl.30 cm, MVC - 1.PP, pro dveře, místn.0.04 a 0.11</t>
  </si>
  <si>
    <t>Přisekání rovných ostění cihelných na MVC - 1.PP, u dveří, místn. 0.04 a 0.11</t>
  </si>
  <si>
    <t>Vysekání kapes pro zavázání pilířů tl. 30 cm, MC - 1.PP, místn.0.07</t>
  </si>
  <si>
    <t>Vybour. kovov. dveř. zárubní pl. do 2 m2, vč. vyvěš. křídla - 1.NP, "4L", místn.1.24 a sklep</t>
  </si>
  <si>
    <t>Vybour. kovov. dveř. zárubní pl. do 2 m2, vč. vyvěš. křídla - 1.NP, "5P", místn.1.24 a atelier</t>
  </si>
  <si>
    <t>Jednořad.podchyc. klenby do 3,5 m,do 1000 kg/m - 1.PP, komínek pro VZT</t>
  </si>
  <si>
    <t>Vysekání kapes zeď cihel. MVC, pl.0,1m2, do 30cm - 1.PP, pro I č.16, strop v místn.0.11</t>
  </si>
  <si>
    <t>Přesuny sutí</t>
  </si>
  <si>
    <t>Svislá doprava suti a vybour. hmot za 1.PP nošením</t>
  </si>
  <si>
    <t>Vodorovné přemístění suti nošením do 10 m</t>
  </si>
  <si>
    <t>Příplatek za nošení suti každých dalších 10 m</t>
  </si>
  <si>
    <t>Naložení a složení suti</t>
  </si>
  <si>
    <t>Vodorovné přemístění suti na skládku do 5000 m</t>
  </si>
  <si>
    <t>Poplatek za skládku stavební suti</t>
  </si>
  <si>
    <t>M.j.</t>
  </si>
  <si>
    <t>m3</t>
  </si>
  <si>
    <t>m2</t>
  </si>
  <si>
    <t>m</t>
  </si>
  <si>
    <t>t</t>
  </si>
  <si>
    <t>kus</t>
  </si>
  <si>
    <t>soubor</t>
  </si>
  <si>
    <t>Množství</t>
  </si>
  <si>
    <t>Jednot.</t>
  </si>
  <si>
    <t>cena (Kč)</t>
  </si>
  <si>
    <t>Dodávka</t>
  </si>
  <si>
    <t>Projektant:</t>
  </si>
  <si>
    <t>Zhotovitel:</t>
  </si>
  <si>
    <t>Montáž</t>
  </si>
  <si>
    <t>Celkem</t>
  </si>
  <si>
    <t>Hmotnost (t)</t>
  </si>
  <si>
    <t>Přesuny</t>
  </si>
  <si>
    <t>Typ skupiny</t>
  </si>
  <si>
    <t>HS</t>
  </si>
  <si>
    <t>PS</t>
  </si>
  <si>
    <t>MP</t>
  </si>
  <si>
    <t>HSV mat</t>
  </si>
  <si>
    <t>HSV prac</t>
  </si>
  <si>
    <t>PSV mat</t>
  </si>
  <si>
    <t>PSV prac</t>
  </si>
  <si>
    <t>Mont mat</t>
  </si>
  <si>
    <t>Mont prac</t>
  </si>
  <si>
    <t>Ostatní mat.</t>
  </si>
  <si>
    <t>13_</t>
  </si>
  <si>
    <t>16_</t>
  </si>
  <si>
    <t>17_</t>
  </si>
  <si>
    <t>21_</t>
  </si>
  <si>
    <t>27_</t>
  </si>
  <si>
    <t>31_</t>
  </si>
  <si>
    <t>33_</t>
  </si>
  <si>
    <t>34_</t>
  </si>
  <si>
    <t>41_</t>
  </si>
  <si>
    <t>43_</t>
  </si>
  <si>
    <t>45_</t>
  </si>
  <si>
    <t>46_</t>
  </si>
  <si>
    <t>59_</t>
  </si>
  <si>
    <t>61_</t>
  </si>
  <si>
    <t>62_</t>
  </si>
  <si>
    <t>63_</t>
  </si>
  <si>
    <t>64_</t>
  </si>
  <si>
    <t>91_</t>
  </si>
  <si>
    <t>94_</t>
  </si>
  <si>
    <t>95_</t>
  </si>
  <si>
    <t>H99_</t>
  </si>
  <si>
    <t>711_</t>
  </si>
  <si>
    <t>713_</t>
  </si>
  <si>
    <t>724_</t>
  </si>
  <si>
    <t>764_</t>
  </si>
  <si>
    <t>766_</t>
  </si>
  <si>
    <t>767_</t>
  </si>
  <si>
    <t>772_</t>
  </si>
  <si>
    <t>777_</t>
  </si>
  <si>
    <t>M21_</t>
  </si>
  <si>
    <t>728_</t>
  </si>
  <si>
    <t>731_</t>
  </si>
  <si>
    <t>96_</t>
  </si>
  <si>
    <t>S_</t>
  </si>
  <si>
    <t>1_</t>
  </si>
  <si>
    <t>2_</t>
  </si>
  <si>
    <t>3_</t>
  </si>
  <si>
    <t>4_</t>
  </si>
  <si>
    <t>5_</t>
  </si>
  <si>
    <t>6_</t>
  </si>
  <si>
    <t>9_</t>
  </si>
  <si>
    <t>71_</t>
  </si>
  <si>
    <t>72_</t>
  </si>
  <si>
    <t>76_</t>
  </si>
  <si>
    <t>77_</t>
  </si>
  <si>
    <t>73_</t>
  </si>
  <si>
    <t>_</t>
  </si>
  <si>
    <t>DPH 21%</t>
  </si>
  <si>
    <t>Cena celkem (Kč)</t>
  </si>
  <si>
    <t>ARC</t>
  </si>
  <si>
    <t>VYT</t>
  </si>
  <si>
    <t>VZT</t>
  </si>
  <si>
    <t xml:space="preserve">Rekapitulace rozpočtových nákladů </t>
  </si>
  <si>
    <t>HZS</t>
  </si>
  <si>
    <t>Celkem (bez DPH) Kč:</t>
  </si>
  <si>
    <t>základ daně pro DPH 21%</t>
  </si>
  <si>
    <t>Celkem (včetně DPH) Kč:</t>
  </si>
  <si>
    <t xml:space="preserve">       cena</t>
  </si>
  <si>
    <t>zkrácený popis</t>
  </si>
  <si>
    <t>m.j.</t>
  </si>
  <si>
    <t xml:space="preserve">   jedn.</t>
  </si>
  <si>
    <t>pol.celk.</t>
  </si>
  <si>
    <t xml:space="preserve">    jedn.</t>
  </si>
  <si>
    <t>Materiál/montáž</t>
  </si>
  <si>
    <t>ks</t>
  </si>
  <si>
    <t>rozvadeč RMS - dodávka dle výkresu 05</t>
  </si>
  <si>
    <t>CYKY-J  4x16 (B)</t>
  </si>
  <si>
    <t>CYKY-J  5x4 (C)</t>
  </si>
  <si>
    <t>CYKY-J  3x6 (C)</t>
  </si>
  <si>
    <t>CYKY-J  3x2,5 (C)</t>
  </si>
  <si>
    <t>CYKY-J  4x1,5 (C)</t>
  </si>
  <si>
    <t>CYKY-J  3x1,5 (C)</t>
  </si>
  <si>
    <t>CYKY-J  3x1,5 (A)</t>
  </si>
  <si>
    <t>CYKY-O  2x1,5 (D)</t>
  </si>
  <si>
    <t>CYKY-O  2x1,5 (A)</t>
  </si>
  <si>
    <t>chránička plastová KF09110</t>
  </si>
  <si>
    <t>tr tuhá d32 PVC</t>
  </si>
  <si>
    <t>CYA 25 zž</t>
  </si>
  <si>
    <t>CYA 16 zž</t>
  </si>
  <si>
    <t>CYA 10 zž</t>
  </si>
  <si>
    <t>CYA 4 zž</t>
  </si>
  <si>
    <t>svorka OP</t>
  </si>
  <si>
    <t>elekroinstalační lišta 40x40</t>
  </si>
  <si>
    <t>ocelový kabelový žlab 62/50 včetně závěsů a noníků(záv. tyč, kotva, nosník rozteč 2m)</t>
  </si>
  <si>
    <t>pomocná ocelová konstrukce do 10kg</t>
  </si>
  <si>
    <t>Svítidla dle návrhu PD interiérů  - včetně zdrojů a startérů</t>
  </si>
  <si>
    <t>B - ZÁŘIVKOVÉ SVÍTIDLO PŘISAZENÉ 2x36W, EP, IP 65, PMMA KRYT</t>
  </si>
  <si>
    <t>D - ZÁŘIVKOVÉ SVÍTIDLO 2x18W, PŘISAZENÉ, SKLO, IP 41</t>
  </si>
  <si>
    <t>DN - ZÁŘIVKOVÉ SVÍTIDLO 2x18W, PŘISAZENÉ, SKLO, IP 41, NOUZOVÁ VLOŽKA 1HOD</t>
  </si>
  <si>
    <t>R - REFLEKTOROVÉ LED SVÍTIDLO 1x30W, PŘISAZENÉ KOVOVÉ, IP 65, 4000lm, ULTRA TENKÝ</t>
  </si>
  <si>
    <t>N - NOUZ. ZÁŘIVKOVÉ SVÍTIDLO LED 1x2W, S PIKTOGRAMEM, NÁSTĚNNÉ, IP40</t>
  </si>
  <si>
    <t>KP68, KU68, nebo do dutých stěn</t>
  </si>
  <si>
    <t>KR68, nebo do dutých stěn</t>
  </si>
  <si>
    <t>KR97</t>
  </si>
  <si>
    <t>krabice K125</t>
  </si>
  <si>
    <t>krabice IP54 na povrch se svorkovnicí</t>
  </si>
  <si>
    <t>ukončení vodičů pospojování</t>
  </si>
  <si>
    <t>servisní vypínač 400V/32A v krabici, IP66</t>
  </si>
  <si>
    <t>napojení ventilátorů  a zařízení VZT</t>
  </si>
  <si>
    <t>protipožární ucpávka</t>
  </si>
  <si>
    <t>ukončení kabelů do 5 x 16</t>
  </si>
  <si>
    <t xml:space="preserve">ukončení kabelů do 5 x 6 </t>
  </si>
  <si>
    <t>ukončení kabelů do 5 x 1,5-4</t>
  </si>
  <si>
    <t>ukončení kabelů do 3 x 1,5-4</t>
  </si>
  <si>
    <t xml:space="preserve">průraz zdivem do 45 cm </t>
  </si>
  <si>
    <t xml:space="preserve">průraz zdivem do 30 cm </t>
  </si>
  <si>
    <t xml:space="preserve">průraz zdivem do 15 cm </t>
  </si>
  <si>
    <t>vysekání rýh ve zdi cihelné 3 x 3 cm</t>
  </si>
  <si>
    <t>vysekání rýh ve zdi cihelné 3 x 7 cm</t>
  </si>
  <si>
    <t>vysekání, vyvrtání kapes pro krabice</t>
  </si>
  <si>
    <t>nosný, podružný a režijní materiál</t>
  </si>
  <si>
    <t>kg</t>
  </si>
  <si>
    <t>demontáže, úpravy elektroinstalace</t>
  </si>
  <si>
    <t>úpravy v rozvaděči RH, RP</t>
  </si>
  <si>
    <t>celkem</t>
  </si>
  <si>
    <t>rozbourání betonon. základu, odvoz suti na skl. a pop. za uložení suti na skládku.</t>
  </si>
  <si>
    <t>ruční výkop kabelové rýhy 35/80 cm hor.4</t>
  </si>
  <si>
    <t>zához kabelové rýhy 35/80 cm hor.4</t>
  </si>
  <si>
    <t>zakrytí kabelu výstražnou fólií červenou na šířku 33 cm, včetně dodávky fólie</t>
  </si>
  <si>
    <t>Hutnění kabelové rýhy při záhozu</t>
  </si>
  <si>
    <t>rozebrání a zpětné položení dlažby</t>
  </si>
  <si>
    <t>prostý beton</t>
  </si>
  <si>
    <t>Rozváděč RH - doplnění</t>
  </si>
  <si>
    <t>jistič 63A/3</t>
  </si>
  <si>
    <t>spoj. a podr. mat.</t>
  </si>
  <si>
    <t>kmpl</t>
  </si>
  <si>
    <t>mezisoučet</t>
  </si>
  <si>
    <t>Rozváděč RP - doplnění</t>
  </si>
  <si>
    <t>jistič s chráničem 16B/2P/0,03</t>
  </si>
  <si>
    <t xml:space="preserve">jistič  10C/1, 10kA  </t>
  </si>
  <si>
    <t xml:space="preserve">jistič  6B/1, 10kA </t>
  </si>
  <si>
    <t>stykač S20/20, 20A,2300V, ovl. napětí 230V</t>
  </si>
  <si>
    <t>přepínač I-0-II, 10A/230V</t>
  </si>
  <si>
    <t xml:space="preserve">PE, N přípojnice </t>
  </si>
  <si>
    <t>EI</t>
  </si>
  <si>
    <t>Stavba:</t>
  </si>
  <si>
    <t>Kód - Popis</t>
  </si>
  <si>
    <t>Cena celkem [CZK]</t>
  </si>
  <si>
    <t>PSV - Práce a dodávky PSV</t>
  </si>
  <si>
    <t xml:space="preserve">    713 - Izolace tepelné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</si>
  <si>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</si>
  <si>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</si>
  <si>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</si>
  <si>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>HZS - Hodinové zúčtovací sazby</t>
  </si>
  <si>
    <t>PČ</t>
  </si>
  <si>
    <t>Typ</t>
  </si>
  <si>
    <t>Popis</t>
  </si>
  <si>
    <t>MJ</t>
  </si>
  <si>
    <t>J.cena [CZK]</t>
  </si>
  <si>
    <t>Náklady z rozpočtu</t>
  </si>
  <si>
    <t>K</t>
  </si>
  <si>
    <t>713463211</t>
  </si>
  <si>
    <t>Montáž izolace tepelné potrubí potrubními pouzdry s Al fólií staženými Al páskou 1x D do 50 mm</t>
  </si>
  <si>
    <t>M</t>
  </si>
  <si>
    <t>631545300</t>
  </si>
  <si>
    <t>998713201</t>
  </si>
  <si>
    <t>Přesun hmot procentní pro izolace tepelné v objektech v do 6 m</t>
  </si>
  <si>
    <t>%</t>
  </si>
  <si>
    <t>731251116</t>
  </si>
  <si>
    <t>Kotel ocelový elektrický závěsný přímotopný o výkonu 6-14 kW</t>
  </si>
  <si>
    <t>731341130</t>
  </si>
  <si>
    <t>Hadice napouštěcí pryžové D 16/23</t>
  </si>
  <si>
    <t>998731201</t>
  </si>
  <si>
    <t>Přesun hmot procentní pro kotelny v objektech v do 6 m</t>
  </si>
  <si>
    <t>733221104</t>
  </si>
  <si>
    <t>Potrubí měděné měkké spojované měkkým pájením D 22x1</t>
  </si>
  <si>
    <t>733224224</t>
  </si>
  <si>
    <t>Příplatek k potrubí měděnému za zhotovení přípojky z trubek měděných D 22x1</t>
  </si>
  <si>
    <t>733291101</t>
  </si>
  <si>
    <t>Zkouška těsnosti potrubí měděné do D 35x1,5</t>
  </si>
  <si>
    <t>998733201</t>
  </si>
  <si>
    <t>Přesun hmot procentní pro rozvody potrubí v objektech v do 6 m</t>
  </si>
  <si>
    <t>734211127</t>
  </si>
  <si>
    <t>Ventil závitový odvzdušňovací G 1/2 PN 14 do 120°C automatický se zpětnou klapkou otopných těles</t>
  </si>
  <si>
    <t>734261235</t>
  </si>
  <si>
    <t>Šroubení topenářské přímé G 1 PN 16 do 120°C</t>
  </si>
  <si>
    <t>734291243</t>
  </si>
  <si>
    <t>Filtr závitový přímý G 3/4 PN 16 do 130°C s vnitřními závity</t>
  </si>
  <si>
    <t>734292714</t>
  </si>
  <si>
    <t>Kohout kulový přímý G 3/4 PN 42 do 185°C vnitřní závit</t>
  </si>
  <si>
    <t>998734201</t>
  </si>
  <si>
    <t>Přesun hmot procentní pro armatury v objektech v do 6 m</t>
  </si>
  <si>
    <t>HZS2491</t>
  </si>
  <si>
    <t>č.</t>
  </si>
  <si>
    <t>č.cen.</t>
  </si>
  <si>
    <t>popis položky</t>
  </si>
  <si>
    <t>měr.</t>
  </si>
  <si>
    <t>výměra</t>
  </si>
  <si>
    <t>ceny v Kč</t>
  </si>
  <si>
    <t>pol.</t>
  </si>
  <si>
    <t>položky</t>
  </si>
  <si>
    <t>jedn.</t>
  </si>
  <si>
    <t xml:space="preserve">Při vyplňování výkazu výměr je nutné respektovat dále uvedené pokyny: </t>
  </si>
  <si>
    <t>Zařízení č.1– Větrání baru</t>
  </si>
  <si>
    <t>1.1</t>
  </si>
  <si>
    <t>Složení</t>
  </si>
  <si>
    <r>
      <t>- ventilátorová komora přívodní Q = 5000m</t>
    </r>
    <r>
      <rPr>
        <sz val="10"/>
        <color indexed="8"/>
        <rFont val="Calibri"/>
        <family val="2"/>
      </rPr>
      <t>³/h, pext=350Pa</t>
    </r>
  </si>
  <si>
    <t xml:space="preserve">                                                      P = 400V, 3.3kW, 5.4A</t>
  </si>
  <si>
    <r>
      <t>- ventilátorová komora odvodní Q = 5000m</t>
    </r>
    <r>
      <rPr>
        <sz val="10"/>
        <color indexed="8"/>
        <rFont val="Calibri"/>
        <family val="2"/>
      </rPr>
      <t>³/h, pext=200Pa</t>
    </r>
  </si>
  <si>
    <t xml:space="preserve">                                                      P = 400V, 3.3W, 5.4A</t>
  </si>
  <si>
    <t>- teplovodní ohřev - voda 70/50, 3.6kW, směšovací uzel</t>
  </si>
  <si>
    <t>- desková rekuperace s účinností 92%</t>
  </si>
  <si>
    <t>- cirkulační a by passové klapky</t>
  </si>
  <si>
    <t>- 2x filtrační komora G4</t>
  </si>
  <si>
    <t>- vstupní klapky</t>
  </si>
  <si>
    <t>- systém MaR (tzv.digitální regulace) - kabeláž provede elektro</t>
  </si>
  <si>
    <t>- rozvaděč na jednotce</t>
  </si>
  <si>
    <t xml:space="preserve">- parapetní provedení </t>
  </si>
  <si>
    <t>- potrubní čidlo CO2, prostorové vlhkostní čidlo</t>
  </si>
  <si>
    <t>- hmotnost 566kg</t>
  </si>
  <si>
    <t>- jednotka v rozloženém stavu ( montáž na stavbě)</t>
  </si>
  <si>
    <t>- zprovoznění</t>
  </si>
  <si>
    <t>1.2</t>
  </si>
  <si>
    <t>P = 400V, 7.8kW, 5.5A - jištění 20A</t>
  </si>
  <si>
    <t>Rozměry :  950x1380x330mm ( š*v*h )</t>
  </si>
  <si>
    <t>Hmotnost : 96kg</t>
  </si>
  <si>
    <t>připojovací dimnenze : 9.52/15.88</t>
  </si>
  <si>
    <t xml:space="preserve">                           příslušenství pro připojení k vzt jednotce</t>
  </si>
  <si>
    <t xml:space="preserve">                           zprovoznění</t>
  </si>
  <si>
    <t xml:space="preserve">                           konzole</t>
  </si>
  <si>
    <t>1.3</t>
  </si>
  <si>
    <r>
      <t xml:space="preserve">Buňka tlumiče hluku </t>
    </r>
    <r>
      <rPr>
        <b/>
        <sz val="10"/>
        <color indexed="8"/>
        <rFont val="Arial"/>
        <family val="2"/>
      </rPr>
      <t xml:space="preserve">500x250/1000 </t>
    </r>
  </si>
  <si>
    <t>1.4</t>
  </si>
  <si>
    <r>
      <t>Buňka tlumiče hluku</t>
    </r>
    <r>
      <rPr>
        <b/>
        <sz val="10"/>
        <color indexed="8"/>
        <rFont val="Arial"/>
        <family val="2"/>
      </rPr>
      <t xml:space="preserve"> 500x225/1000 </t>
    </r>
  </si>
  <si>
    <t>1.5</t>
  </si>
  <si>
    <r>
      <t xml:space="preserve">Protidešťová žaluzie </t>
    </r>
    <r>
      <rPr>
        <b/>
        <sz val="10"/>
        <color indexed="8"/>
        <rFont val="Arial"/>
        <family val="2"/>
      </rPr>
      <t>PZAL 630x800 - S</t>
    </r>
  </si>
  <si>
    <t>1.6</t>
  </si>
  <si>
    <t>1.7</t>
  </si>
  <si>
    <t>1.8</t>
  </si>
  <si>
    <r>
      <t xml:space="preserve">Podlahová mřížka </t>
    </r>
    <r>
      <rPr>
        <b/>
        <sz val="10"/>
        <color indexed="8"/>
        <rFont val="Arial"/>
        <family val="2"/>
      </rPr>
      <t>PM 400x200</t>
    </r>
  </si>
  <si>
    <t>1.9</t>
  </si>
  <si>
    <r>
      <t xml:space="preserve">Regulační klapka </t>
    </r>
    <r>
      <rPr>
        <b/>
        <sz val="10"/>
        <color indexed="8"/>
        <rFont val="Arial"/>
        <family val="2"/>
      </rPr>
      <t xml:space="preserve">RK 315 - R </t>
    </r>
  </si>
  <si>
    <r>
      <t>Kruhové potrubí plastové -</t>
    </r>
    <r>
      <rPr>
        <i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KG  Ø 315</t>
    </r>
  </si>
  <si>
    <t>rovné</t>
  </si>
  <si>
    <t>bm</t>
  </si>
  <si>
    <t>tvarovky</t>
  </si>
  <si>
    <r>
      <t>Kruhové potrubí plastové -</t>
    </r>
    <r>
      <rPr>
        <i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KG  Ø 250</t>
    </r>
  </si>
  <si>
    <r>
      <t xml:space="preserve">Potrubí pozink </t>
    </r>
    <r>
      <rPr>
        <b/>
        <sz val="10"/>
        <rFont val="Arial CE"/>
        <family val="0"/>
      </rPr>
      <t xml:space="preserve">čtyřhranné </t>
    </r>
    <r>
      <rPr>
        <sz val="10"/>
        <rFont val="Arial"/>
        <family val="0"/>
      </rPr>
      <t>- rovné</t>
    </r>
  </si>
  <si>
    <r>
      <t>m</t>
    </r>
    <r>
      <rPr>
        <sz val="10"/>
        <rFont val="Calibri"/>
        <family val="2"/>
      </rPr>
      <t>²</t>
    </r>
  </si>
  <si>
    <t xml:space="preserve">                                                 tvarovky</t>
  </si>
  <si>
    <t>Tepelná izolace tl. 40mm</t>
  </si>
  <si>
    <t>Spojovací a těsnící materiál</t>
  </si>
  <si>
    <t>kpl</t>
  </si>
  <si>
    <t>Materiál pro kotvení a zavěšení potrubí a jednotek</t>
  </si>
  <si>
    <t>Zaregulování zařízení, protokol</t>
  </si>
  <si>
    <t>VZDUCHOTECHNIKA  CELKEM</t>
  </si>
  <si>
    <t>Č. pol</t>
  </si>
  <si>
    <t>č. pol.</t>
  </si>
  <si>
    <t>množství</t>
  </si>
  <si>
    <t>dodávka</t>
  </si>
  <si>
    <t>montáž</t>
  </si>
  <si>
    <t>VÝKAZ VÝMĚR</t>
  </si>
  <si>
    <t>VÝKAZ VÝMĚR VZT</t>
  </si>
  <si>
    <t>rozvadeč RH - doplnění viz položka 67</t>
  </si>
  <si>
    <t>rozvadeč RP - doplnění viz položka 76</t>
  </si>
  <si>
    <t>Vodorovné přemíst.výkopku, kolečko hor.1-4, do 10m (z 1. PP - položky 1,4,7,10,15,16)</t>
  </si>
  <si>
    <t>Příplatek za dalš.10 m, kolečko, výkop. z hor.1- 4 (z 1. PP - položky 1,4,7,10,15,16)</t>
  </si>
  <si>
    <t>Svislé přemístění výkopku z hor. 1-4 ruční (z 1. PP - položky 1,4,7,10,15,16)</t>
  </si>
  <si>
    <t>Nakládání výkopku z hor.1-4 v množství do 100 m3 (z 1. PP - položky 1,4,7,10,15,16)</t>
  </si>
  <si>
    <t>Přeložení nebo složení výkopku z hor.1-4 (z 1. PP - položky 1,4,7,10,15,16)</t>
  </si>
  <si>
    <t>Vodorovné přemístění výkopku z hor.1-4 do 10000 m (z 1. PP a nad klenbou- pol. 1,4,7,10,11,12,13,15,16, bez pol. 14 )</t>
  </si>
  <si>
    <t>Poplatek za skládku horniny 1- 4  (z 1. PP a nad klenbou- pol. 1,4,7,10,11,12,13,15,16, bez položky 14 )</t>
  </si>
  <si>
    <t>1) Ve všech listech tohoto souboru můžete měnit pouze buňky se žlutým pozadím. Jedná se o tyto údaje : 
- údaje o firmě
- jednotkové ceny položek zadané na maximálně dvě desetinná místa</t>
  </si>
  <si>
    <t>3) Součástí nabídkové ceny musí být veškeré náklady, aby cena byla konečná a zahrnovala celou dodávku a montáž. Pokud není ve výkazu výměr uvedeno oddělěně.</t>
  </si>
  <si>
    <t xml:space="preserve">4) Každá uchazečem vyplněná položka musí obsahovat veškeré technicky a logicky dovoditélné součásti dodávky a montáže (včetně údajů o podmínkách a úhradě licencí potřebných SW). </t>
  </si>
  <si>
    <t xml:space="preserve">5) Dodávky a montáže uvedené v nabídce musí být, včetně veškerého souvisejícího doplňkového, podružného a montážního materiálu, tak, aby celé zařízení bylo funkční a splňovalo všechny předpisy, které se na ně vztahují.  </t>
  </si>
  <si>
    <t>7) Všechny jednotlivé položky jsou bez DPH.</t>
  </si>
  <si>
    <t>Soupis stavebních prací, dodávek a služeb</t>
  </si>
  <si>
    <t>Zadavatel</t>
  </si>
  <si>
    <t>IČO:</t>
  </si>
  <si>
    <t>DIČ:</t>
  </si>
  <si>
    <t>Vypracoval:</t>
  </si>
  <si>
    <t>Rozpis ceny</t>
  </si>
  <si>
    <t>HSV</t>
  </si>
  <si>
    <t>PSV</t>
  </si>
  <si>
    <t>MON</t>
  </si>
  <si>
    <t>Vedlejší náklady</t>
  </si>
  <si>
    <t>Rekapitulace daní</t>
  </si>
  <si>
    <t>Základ pro sníženou DPH</t>
  </si>
  <si>
    <t xml:space="preserve">Snížená DPH </t>
  </si>
  <si>
    <t>Základ pro základní DPH</t>
  </si>
  <si>
    <t xml:space="preserve">Základní DPH 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</si>
  <si>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</si>
  <si>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</si>
  <si>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</si>
  <si>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</si>
  <si>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</si>
  <si>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</si>
  <si>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</si>
  <si>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JPS J. Hradec s.r.o.</t>
  </si>
  <si>
    <t>Jarošovská 753/II</t>
  </si>
  <si>
    <t>Jindřichův Hradec</t>
  </si>
  <si>
    <t>377 01</t>
  </si>
  <si>
    <t>26035138</t>
  </si>
  <si>
    <t>Cena celkem</t>
  </si>
  <si>
    <t>Typ dílu</t>
  </si>
  <si>
    <t>VN</t>
  </si>
  <si>
    <t>Rekapitulace dílů</t>
  </si>
  <si>
    <t>Hydroizol. pro zel. střechy, odolná proti prorůstání kořínků, vč. 2x textilie, vodorov. - nad klenbou místn. pro VZT</t>
  </si>
  <si>
    <t>Hydroizol. pro zel. Střechy, odolná proti prorůstání kořínků, vč. 2x textilie, svislá - kolem klenby místn. VZT a u stáv. budovy</t>
  </si>
  <si>
    <t>Deska polystyr. XPS N-III-I  tl.100 mm, vč.3%na prořez - komínek VZT</t>
  </si>
  <si>
    <t>Kontaktní zateplovací systém, XPS tl.100 mm, zakonč. stěrkou s výztuž. tkaninou - komínek VZT</t>
  </si>
  <si>
    <t>Zdivo z cihelných tvárnic P20 na MC 10, tl.250 mm - 1.PP, mezi místn.0.10 a 0.11</t>
  </si>
  <si>
    <t>Zdivo z cihelných tvárnic P20 na MC 10, tl.250 mm - 1.NP, schodiště</t>
  </si>
  <si>
    <t xml:space="preserve">Granulát z pěnového skla izolační </t>
  </si>
  <si>
    <t>282,26</t>
  </si>
  <si>
    <t>Beton základových pasů prostý C 20/25, do výkopu - pod ocelov. schodiště</t>
  </si>
  <si>
    <t>Beton základov. pasů prostý C 20/25, přípl.8% za bet. do výkopu - pod ocelov. schod.</t>
  </si>
  <si>
    <t>434200001RA0</t>
  </si>
  <si>
    <t>Schodiště z oceli včetně zábradlí a nátěrů</t>
  </si>
  <si>
    <t>434-01</t>
  </si>
  <si>
    <t>Konstrukce ocelová schodiště žárově zinkovaná</t>
  </si>
  <si>
    <t>434191421R00</t>
  </si>
  <si>
    <t>Osazení vybouraných stupňů kamenných na desku</t>
  </si>
  <si>
    <t>Osazení nových stupňů kamenných na desku</t>
  </si>
  <si>
    <t>58388015</t>
  </si>
  <si>
    <t>Stupeň schod. plný 150x300x1100 vyžlábkovná podst.</t>
  </si>
  <si>
    <t>631416213RT1</t>
  </si>
  <si>
    <t>Mazanina betonov. tl.15 cm ve spádu pro osazení kamen. schodišt´ov. stupňů</t>
  </si>
  <si>
    <t>767200</t>
  </si>
  <si>
    <t>Úprava stávajicího schodišt´ového madla</t>
  </si>
  <si>
    <t>782331</t>
  </si>
  <si>
    <t>Prodlouž. kamen. (žula) ostění na novou úroveň schod. stupňů</t>
  </si>
  <si>
    <t>m DVČ</t>
  </si>
  <si>
    <t>596100051RA0</t>
  </si>
  <si>
    <t>Chodník z dlažby žulové, podkl. štěrkodrť, vč.zem. prací - u ocelov. schod.</t>
  </si>
  <si>
    <t>916561111RT7</t>
  </si>
  <si>
    <t>Osaz. záhrad. obrubníků do lože z C12/15 s opěrou, vč. dod. obrub. - u ocelov. schod.</t>
  </si>
  <si>
    <t>Kontektní zateplovací systém, sokl, XPS tl.50 mm, s mozaik. omítkou - sokl u venkov. dveří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</si>
  <si>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</si>
  <si>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</si>
  <si>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</si>
  <si>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</si>
  <si>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</si>
  <si>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</si>
  <si>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</si>
  <si>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</si>
  <si>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</si>
  <si>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</si>
  <si>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963022819R00</t>
  </si>
  <si>
    <t>Bourání kamenných.schodišťových stupňů</t>
  </si>
  <si>
    <t>963042819R00</t>
  </si>
  <si>
    <t>Bourání schodišťových stupňů betonových s keram. obkl.</t>
  </si>
  <si>
    <t>963032819R00</t>
  </si>
  <si>
    <t>Bourání schodišťových stupňů cihelných</t>
  </si>
  <si>
    <t>202</t>
  </si>
  <si>
    <t>203</t>
  </si>
  <si>
    <t>204</t>
  </si>
  <si>
    <t>205</t>
  </si>
  <si>
    <t>206</t>
  </si>
  <si>
    <t>207</t>
  </si>
  <si>
    <t>Soupis vedlejších a ostatních nákladů</t>
  </si>
  <si>
    <t>S:</t>
  </si>
  <si>
    <t>O:</t>
  </si>
  <si>
    <t>SO 00</t>
  </si>
  <si>
    <t>Vedlejší a ostatní náklady za celou stavbu</t>
  </si>
  <si>
    <t>R:</t>
  </si>
  <si>
    <t>01</t>
  </si>
  <si>
    <t>P.č.</t>
  </si>
  <si>
    <t>Číslo položky</t>
  </si>
  <si>
    <t>Název položky</t>
  </si>
  <si>
    <t>cena / MJ</t>
  </si>
  <si>
    <t>Díl:</t>
  </si>
  <si>
    <t>Soubor</t>
  </si>
  <si>
    <t>005111020R</t>
  </si>
  <si>
    <t>Vytyčení stavby</t>
  </si>
  <si>
    <t>Vytýčení jednotlivých objektů stavby v terénu zodpovědným geodetem vč. protokolu o vytýčení.</t>
  </si>
  <si>
    <t>005111021R</t>
  </si>
  <si>
    <t>Vytyčení inženýrských sítí</t>
  </si>
  <si>
    <t>Vytýčení stávajících inženýrských sítí jejich správci.</t>
  </si>
  <si>
    <t>005241010R</t>
  </si>
  <si>
    <t xml:space="preserve">Dokumentace skutečného provedení </t>
  </si>
  <si>
    <t>Zpracování a kompletace projektové dokumentace skutečného provedení stavby se zakreslením změn 2 x v tištěné podobě 1 x v digitální podobě na CD nosiči, ve formátu PDF. Textové části je možno vytvářet ve formátech RTF (Rich Text File) nebo DOC Microsoft Word).</t>
  </si>
  <si>
    <t>005241020R</t>
  </si>
  <si>
    <t xml:space="preserve">Geodetické zaměření skutečného provedení  </t>
  </si>
  <si>
    <t>Vše bude zaměřeno v souřadnicích na podkladu katastrální mapy a dle požadavků správců sítí, v počtu 5 x tištěná forma a 2 x elektronická forma na CD.</t>
  </si>
  <si>
    <t>Součástí bude i vyhotovení geometrického plánu realizovaných objektů stavby v počtu 3 ks, který bude sloužit pro vklad do katastru nemovitostí.</t>
  </si>
  <si>
    <t>00523  R</t>
  </si>
  <si>
    <t>Revizní zprávy budou dodány ve 3 vyhotoveních.</t>
  </si>
  <si>
    <t>#TypZaznamu#</t>
  </si>
  <si>
    <t>STA</t>
  </si>
  <si>
    <t>NAK</t>
  </si>
  <si>
    <t>OBJ</t>
  </si>
  <si>
    <t>ROZ</t>
  </si>
  <si>
    <t>DIL</t>
  </si>
  <si>
    <t>POL99_8</t>
  </si>
  <si>
    <t>POP</t>
  </si>
  <si>
    <t>SUM</t>
  </si>
  <si>
    <t>END</t>
  </si>
  <si>
    <t>Architektonicko stavební část</t>
  </si>
  <si>
    <t>příslušenství -  izolované Cu potrubí, komunikační kabel - 23m</t>
  </si>
  <si>
    <t>Zaměření skutečného provedení obshuje zaměření vlastního objektu MěKS, trasy upravovaných či budovaných inženýrských sítí včetně přípojek, zaměření průběhu oplocení a chodníků.</t>
  </si>
  <si>
    <t>Zateplov. systém kontaktní XPS tl.100 mm zakonč. pružnou, omyvatelnou, vodoodpudivou omítkou - komínek VZT</t>
  </si>
  <si>
    <t>Nátěry podlah betonových  2x epoxidová stěrka - 1.NP, část místn.1.27</t>
  </si>
  <si>
    <t>kpl.</t>
  </si>
  <si>
    <t>pouzdro potrubní izolační  22/30 mm</t>
  </si>
  <si>
    <r>
      <t xml:space="preserve">Vyústka </t>
    </r>
    <r>
      <rPr>
        <b/>
        <sz val="10"/>
        <color indexed="8"/>
        <rFont val="Arial"/>
        <family val="2"/>
      </rPr>
      <t>- 1000x500 - R1</t>
    </r>
  </si>
  <si>
    <t>Kamenivo drcené frakce  8/16  B - rýha u výklenku v místn.0.06</t>
  </si>
  <si>
    <t>Položkový soupis prací a dodávek</t>
  </si>
  <si>
    <t>Izolace proti vlhkosti svislá - asfaltové pásy na sucho, vč. dod. - 1.PP, místn. 0.07, mezi nový základ a okolní konstr.</t>
  </si>
  <si>
    <t>Elektroinstalace - dílčí objekt</t>
  </si>
  <si>
    <t>Vytápění - dílčí objekt</t>
  </si>
  <si>
    <t>Vzduchotechnika - dílčí objekt</t>
  </si>
  <si>
    <t>Izolace proti vlhk. vodorov. oxiidované asfaltové pásy s nosnou vložkou ze skleněné tkaniny přitav., vč. dod. - 1.NP, část místn.1.27</t>
  </si>
  <si>
    <t>1-pól. vyp. (1,6) -  do vlhka - strojek, kryt, rámeček - barva ANTRACIT</t>
  </si>
  <si>
    <t>zásuvka do vlhka -  strojek, kryt, rámeček- barva ANTRACIT</t>
  </si>
  <si>
    <t>Kladení betonov. dlažby tl.4 cm do drtě tl. 3 cm - 1.PP, místn.0.05 až 0.07 vč. dovozu ze 2 km. Dodávka investor.</t>
  </si>
  <si>
    <t>Kladení zámkov. dlažby tl.6 cm do drtě tl. 3 cm - 1.PP, místn.0.10 a 0.11 vč. dovozu ze 2 km. Dodávka investor.</t>
  </si>
  <si>
    <t>2) Při zpracování nabídky je nutné využít všech částí (dílů) projektu pro provádění stavby tj. technické zprávy, seznamu pozic, všech výkresů, tabulek a specifikací materiálů.</t>
  </si>
  <si>
    <t>6) Označení výrobků konkrétním výrobcem v projektu pro provádění stavby vyjadřuje standard požadované kvality. Pokud uchazeč nabídne produkt od jiného výrobce je povinen dodržet standard a zároveň, přejímá odpovědnost za správnost náhrady - splnění všech parametrů a koordinaci se všemi navazujícími profesemi, eventuelní nutnost úpravy projektu pro výběr zhotovitele půjde k tíží uchazeče (vybraného dodavatele).</t>
  </si>
  <si>
    <t>soub</t>
  </si>
  <si>
    <t>Provedení revizí silnoproudu, slaboproudu, plynových zařízení, vzduchotechniky.</t>
  </si>
  <si>
    <t xml:space="preserve">Zkoušky a revize </t>
  </si>
  <si>
    <t>Náklady zhotovitele, související s prováděním zkoušek a revizí předepsaných technickými normami nebo objednatelem a které jsou pro provedení díla nezbytné, např.:</t>
  </si>
  <si>
    <t>Provedení zaškolení obsluhy plynových zařízení, vzduchotechniky, vytápění.</t>
  </si>
  <si>
    <t>Provedení zkoušky těsnosti rozvodů ZI vč. plynovodu.</t>
  </si>
  <si>
    <t>Provedení topné zkoušky a seřízení topných okruhů a zařízení vzduchotechniky.</t>
  </si>
  <si>
    <t xml:space="preserve">Celkové náklady za stavbu </t>
  </si>
  <si>
    <t xml:space="preserve">Zednické výpomoce </t>
  </si>
  <si>
    <t>Rekuperační jednotka D+M</t>
  </si>
  <si>
    <t>Venkovní kondenzační jednotka D+M</t>
  </si>
  <si>
    <t>M+D Elektroistalace - viz dílčí rozpočet</t>
  </si>
  <si>
    <t>M+D Vzduchotechniky - viz dílčí rozpočet</t>
  </si>
  <si>
    <t>M+D Ústřední vytápění - viz dílčí rozpočet</t>
  </si>
  <si>
    <t>REKONSTRUKCE A ROZŠÍŘENÍ MěKS DAČICE - Divadelní klub pro mluvené slovo (3. vyhlášení)</t>
  </si>
  <si>
    <t>Rekonstrukce a rozšíření MěKS Dačice - Divadelní klub pro mluvené slovo (3. vyhlášení)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</si>
</sst>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[$-405]d\.\ mmmm\ yyyy"/>
    <numFmt numFmtId="167" formatCode="#,##0_ ;\-#,##0\ "/>
    <numFmt numFmtId="168" formatCode="#,##0\ &quot;Kč&quot;"/>
    <numFmt numFmtId="169" formatCode="0.0"/>
    <numFmt numFmtId="170" formatCode="dd\.mm\.yyyy"/>
    <numFmt numFmtId="171" formatCode="#,##0.000"/>
    <numFmt numFmtId="172" formatCode="_-* #,##0.0\ _K_č_-;\-* #,##0.0\ _K_č_-;_-* &quot;-&quot;\ _K_č_-;_-@_-"/>
    <numFmt numFmtId="173" formatCode="0.0%"/>
    <numFmt numFmtId="174" formatCode="#,##0.00000"/>
    <numFmt numFmtId="175" formatCode="#,##0.0000"/>
    <numFmt numFmtId="176" formatCode="#,##0.0"/>
  </numFmts>
  <fonts count="66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sz val="10"/>
      <name val="Helv"/>
      <family val="2"/>
    </font>
    <font>
      <b/>
      <sz val="10"/>
      <name val="Arial CE"/>
      <family val="0"/>
    </font>
    <font>
      <sz val="10"/>
      <name val="Arial CE"/>
      <family val="2"/>
    </font>
    <font>
      <b/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Calibri"/>
      <family val="2"/>
    </font>
    <font>
      <u val="single"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 CE"/>
      <family val="0"/>
    </font>
    <font>
      <sz val="9"/>
      <name val="Tahoma"/>
      <family val="2"/>
    </font>
    <font>
      <sz val="8"/>
      <name val="Arial CE"/>
      <family val="0"/>
    </font>
    <font>
      <sz val="8"/>
      <color indexed="9"/>
      <name val="Arial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50" fillId="20" borderId="0" applyNumberFormat="0" applyBorder="0" applyAlignment="0" applyProtection="0"/>
    <xf numFmtId="0" fontId="51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0" fillId="0" borderId="0">
      <alignment/>
      <protection/>
    </xf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49">
    <xf numFmtId="0" fontId="1" fillId="0" borderId="0" xfId="0" applyFont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1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8" fillId="33" borderId="10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1" xfId="0" applyFont="1" applyBorder="1" applyAlignment="1">
      <alignment vertical="center"/>
    </xf>
    <xf numFmtId="4" fontId="8" fillId="33" borderId="10" xfId="48" applyNumberFormat="1" applyFont="1" applyFill="1" applyBorder="1" applyAlignment="1" applyProtection="1">
      <alignment horizontal="right" vertical="center"/>
      <protection/>
    </xf>
    <xf numFmtId="4" fontId="5" fillId="0" borderId="0" xfId="48" applyNumberFormat="1" applyFont="1" applyFill="1" applyBorder="1" applyAlignment="1" applyProtection="1">
      <alignment horizontal="right" vertical="center"/>
      <protection/>
    </xf>
    <xf numFmtId="4" fontId="8" fillId="33" borderId="0" xfId="48" applyNumberFormat="1" applyFont="1" applyFill="1" applyBorder="1" applyAlignment="1" applyProtection="1">
      <alignment horizontal="right" vertical="center"/>
      <protection/>
    </xf>
    <xf numFmtId="4" fontId="1" fillId="0" borderId="0" xfId="48" applyNumberFormat="1" applyFont="1" applyAlignment="1" applyProtection="1">
      <alignment vertical="center"/>
      <protection/>
    </xf>
    <xf numFmtId="4" fontId="1" fillId="0" borderId="0" xfId="48" applyNumberFormat="1" applyFont="1" applyAlignment="1">
      <alignment vertical="center"/>
    </xf>
    <xf numFmtId="4" fontId="5" fillId="34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67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/>
    </xf>
    <xf numFmtId="0" fontId="64" fillId="0" borderId="0" xfId="0" applyFont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44" fontId="0" fillId="0" borderId="0" xfId="48" applyNumberFormat="1" applyFont="1" applyAlignment="1">
      <alignment/>
    </xf>
    <xf numFmtId="44" fontId="0" fillId="0" borderId="0" xfId="48" applyNumberFormat="1" applyFont="1" applyFill="1" applyAlignment="1">
      <alignment/>
    </xf>
    <xf numFmtId="49" fontId="0" fillId="0" borderId="12" xfId="0" applyNumberForma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0" fontId="1" fillId="0" borderId="13" xfId="0" applyFont="1" applyBorder="1" applyAlignment="1">
      <alignment horizontal="justify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14" xfId="0" applyNumberFormat="1" applyBorder="1" applyAlignment="1">
      <alignment horizontal="center" vertical="top"/>
    </xf>
    <xf numFmtId="0" fontId="13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49" fontId="1" fillId="0" borderId="0" xfId="0" applyNumberFormat="1" applyFont="1" applyBorder="1" applyAlignment="1">
      <alignment horizontal="justify"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/>
    </xf>
    <xf numFmtId="4" fontId="12" fillId="35" borderId="16" xfId="0" applyNumberFormat="1" applyFont="1" applyFill="1" applyBorder="1" applyAlignment="1" applyProtection="1">
      <alignment horizontal="center" vertical="center"/>
      <protection/>
    </xf>
    <xf numFmtId="4" fontId="12" fillId="35" borderId="16" xfId="0" applyNumberFormat="1" applyFont="1" applyFill="1" applyBorder="1" applyAlignment="1" applyProtection="1">
      <alignment horizontal="center"/>
      <protection/>
    </xf>
    <xf numFmtId="4" fontId="12" fillId="0" borderId="16" xfId="0" applyNumberFormat="1" applyFont="1" applyBorder="1" applyAlignment="1" applyProtection="1">
      <alignment horizontal="center" vertical="center"/>
      <protection/>
    </xf>
    <xf numFmtId="49" fontId="11" fillId="35" borderId="17" xfId="0" applyNumberFormat="1" applyFont="1" applyFill="1" applyBorder="1" applyAlignment="1">
      <alignment horizontal="center" vertical="top"/>
    </xf>
    <xf numFmtId="0" fontId="11" fillId="35" borderId="18" xfId="0" applyFont="1" applyFill="1" applyBorder="1" applyAlignment="1">
      <alignment horizontal="center"/>
    </xf>
    <xf numFmtId="49" fontId="11" fillId="35" borderId="19" xfId="0" applyNumberFormat="1" applyFont="1" applyFill="1" applyBorder="1" applyAlignment="1">
      <alignment horizontal="center" vertical="top"/>
    </xf>
    <xf numFmtId="0" fontId="11" fillId="35" borderId="20" xfId="0" applyFont="1" applyFill="1" applyBorder="1" applyAlignment="1">
      <alignment horizontal="center"/>
    </xf>
    <xf numFmtId="0" fontId="11" fillId="35" borderId="20" xfId="0" applyFont="1" applyFill="1" applyBorder="1" applyAlignment="1">
      <alignment/>
    </xf>
    <xf numFmtId="44" fontId="11" fillId="35" borderId="15" xfId="48" applyNumberFormat="1" applyFont="1" applyFill="1" applyBorder="1" applyAlignment="1">
      <alignment horizontal="center"/>
    </xf>
    <xf numFmtId="49" fontId="3" fillId="35" borderId="18" xfId="0" applyNumberFormat="1" applyFont="1" applyFill="1" applyBorder="1" applyAlignment="1" applyProtection="1">
      <alignment horizontal="left" vertical="center"/>
      <protection/>
    </xf>
    <xf numFmtId="49" fontId="3" fillId="35" borderId="18" xfId="0" applyNumberFormat="1" applyFont="1" applyFill="1" applyBorder="1" applyAlignment="1" applyProtection="1">
      <alignment horizontal="center" vertical="center"/>
      <protection/>
    </xf>
    <xf numFmtId="49" fontId="3" fillId="35" borderId="21" xfId="0" applyNumberFormat="1" applyFont="1" applyFill="1" applyBorder="1" applyAlignment="1" applyProtection="1">
      <alignment horizontal="center" vertical="center"/>
      <protection/>
    </xf>
    <xf numFmtId="49" fontId="1" fillId="35" borderId="20" xfId="0" applyNumberFormat="1" applyFont="1" applyFill="1" applyBorder="1" applyAlignment="1" applyProtection="1">
      <alignment horizontal="left" vertical="center"/>
      <protection/>
    </xf>
    <xf numFmtId="49" fontId="3" fillId="35" borderId="20" xfId="0" applyNumberFormat="1" applyFont="1" applyFill="1" applyBorder="1" applyAlignment="1" applyProtection="1">
      <alignment horizontal="left" vertical="center"/>
      <protection/>
    </xf>
    <xf numFmtId="49" fontId="3" fillId="35" borderId="22" xfId="0" applyNumberFormat="1" applyFont="1" applyFill="1" applyBorder="1" applyAlignment="1" applyProtection="1">
      <alignment horizontal="right" vertical="center"/>
      <protection/>
    </xf>
    <xf numFmtId="49" fontId="3" fillId="35" borderId="14" xfId="0" applyNumberFormat="1" applyFont="1" applyFill="1" applyBorder="1" applyAlignment="1" applyProtection="1">
      <alignment horizontal="center" vertical="center"/>
      <protection/>
    </xf>
    <xf numFmtId="49" fontId="3" fillId="35" borderId="2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4" fillId="33" borderId="24" xfId="0" applyNumberFormat="1" applyFont="1" applyFill="1" applyBorder="1" applyAlignment="1" applyProtection="1">
      <alignment horizontal="left" vertical="center"/>
      <protection/>
    </xf>
    <xf numFmtId="49" fontId="5" fillId="0" borderId="25" xfId="0" applyNumberFormat="1" applyFont="1" applyFill="1" applyBorder="1" applyAlignment="1" applyProtection="1">
      <alignment horizontal="left" vertical="center"/>
      <protection/>
    </xf>
    <xf numFmtId="49" fontId="4" fillId="33" borderId="25" xfId="0" applyNumberFormat="1" applyFont="1" applyFill="1" applyBorder="1" applyAlignment="1" applyProtection="1">
      <alignment horizontal="left" vertical="center"/>
      <protection/>
    </xf>
    <xf numFmtId="49" fontId="5" fillId="0" borderId="26" xfId="0" applyNumberFormat="1" applyFont="1" applyFill="1" applyBorder="1" applyAlignment="1" applyProtection="1">
      <alignment horizontal="left" vertical="center"/>
      <protection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justify"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3" fillId="0" borderId="28" xfId="0" applyNumberFormat="1" applyFont="1" applyFill="1" applyBorder="1" applyAlignment="1" applyProtection="1">
      <alignment vertical="center"/>
      <protection/>
    </xf>
    <xf numFmtId="4" fontId="3" fillId="0" borderId="28" xfId="48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justify"/>
    </xf>
    <xf numFmtId="0" fontId="18" fillId="0" borderId="0" xfId="0" applyFont="1" applyBorder="1" applyAlignment="1">
      <alignment/>
    </xf>
    <xf numFmtId="4" fontId="11" fillId="35" borderId="29" xfId="0" applyNumberFormat="1" applyFont="1" applyFill="1" applyBorder="1" applyAlignment="1" applyProtection="1">
      <alignment horizontal="center" vertical="center"/>
      <protection/>
    </xf>
    <xf numFmtId="4" fontId="12" fillId="34" borderId="30" xfId="0" applyNumberFormat="1" applyFont="1" applyFill="1" applyBorder="1" applyAlignment="1" applyProtection="1">
      <alignment horizontal="center" vertical="center"/>
      <protection locked="0"/>
    </xf>
    <xf numFmtId="4" fontId="12" fillId="34" borderId="30" xfId="0" applyNumberFormat="1" applyFont="1" applyFill="1" applyBorder="1" applyAlignment="1" applyProtection="1">
      <alignment horizontal="center"/>
      <protection locked="0"/>
    </xf>
    <xf numFmtId="4" fontId="12" fillId="0" borderId="29" xfId="0" applyNumberFormat="1" applyFont="1" applyBorder="1" applyAlignment="1" applyProtection="1">
      <alignment horizontal="center" vertical="center"/>
      <protection/>
    </xf>
    <xf numFmtId="4" fontId="12" fillId="35" borderId="16" xfId="0" applyNumberFormat="1" applyFont="1" applyFill="1" applyBorder="1" applyAlignment="1" applyProtection="1">
      <alignment horizontal="center"/>
      <protection locked="0"/>
    </xf>
    <xf numFmtId="4" fontId="12" fillId="34" borderId="16" xfId="0" applyNumberFormat="1" applyFont="1" applyFill="1" applyBorder="1" applyAlignment="1" applyProtection="1">
      <alignment horizontal="center" vertical="center"/>
      <protection locked="0"/>
    </xf>
    <xf numFmtId="4" fontId="12" fillId="34" borderId="16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>
      <alignment vertical="center"/>
    </xf>
    <xf numFmtId="4" fontId="0" fillId="0" borderId="31" xfId="48" applyNumberFormat="1" applyFont="1" applyFill="1" applyBorder="1" applyAlignment="1">
      <alignment/>
    </xf>
    <xf numFmtId="4" fontId="0" fillId="0" borderId="13" xfId="48" applyNumberFormat="1" applyFont="1" applyFill="1" applyBorder="1" applyAlignment="1">
      <alignment/>
    </xf>
    <xf numFmtId="4" fontId="0" fillId="0" borderId="11" xfId="48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5" xfId="48" applyNumberFormat="1" applyFont="1" applyBorder="1" applyAlignment="1">
      <alignment/>
    </xf>
    <xf numFmtId="4" fontId="11" fillId="0" borderId="15" xfId="48" applyNumberFormat="1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25" xfId="0" applyFont="1" applyFill="1" applyBorder="1" applyAlignment="1">
      <alignment horizontal="justify"/>
    </xf>
    <xf numFmtId="0" fontId="11" fillId="0" borderId="0" xfId="0" applyFont="1" applyFill="1" applyBorder="1" applyAlignment="1">
      <alignment horizontal="justify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Alignment="1">
      <alignment vertical="top" wrapText="1"/>
    </xf>
    <xf numFmtId="0" fontId="0" fillId="0" borderId="0" xfId="0" applyFill="1" applyBorder="1" applyAlignment="1">
      <alignment vertical="justify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justify"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49" fontId="0" fillId="0" borderId="33" xfId="0" applyNumberFormat="1" applyFont="1" applyBorder="1" applyAlignment="1">
      <alignment horizontal="left" vertical="center"/>
    </xf>
    <xf numFmtId="49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22" fillId="35" borderId="28" xfId="0" applyFont="1" applyFill="1" applyBorder="1" applyAlignment="1">
      <alignment horizontal="left" vertical="center"/>
    </xf>
    <xf numFmtId="0" fontId="22" fillId="35" borderId="28" xfId="0" applyFont="1" applyFill="1" applyBorder="1" applyAlignment="1">
      <alignment/>
    </xf>
    <xf numFmtId="49" fontId="3" fillId="35" borderId="36" xfId="0" applyNumberFormat="1" applyFont="1" applyFill="1" applyBorder="1" applyAlignment="1" applyProtection="1">
      <alignment horizontal="left" vertical="center"/>
      <protection/>
    </xf>
    <xf numFmtId="49" fontId="3" fillId="35" borderId="37" xfId="0" applyNumberFormat="1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4" fontId="3" fillId="35" borderId="23" xfId="0" applyNumberFormat="1" applyFont="1" applyFill="1" applyBorder="1" applyAlignment="1" applyProtection="1">
      <alignment horizontal="right" vertical="center"/>
      <protection/>
    </xf>
    <xf numFmtId="49" fontId="22" fillId="35" borderId="38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25" xfId="0" applyNumberFormat="1" applyFont="1" applyFill="1" applyBorder="1" applyAlignment="1" applyProtection="1">
      <alignment horizontal="left" vertical="center"/>
      <protection/>
    </xf>
    <xf numFmtId="49" fontId="6" fillId="0" borderId="25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9" xfId="0" applyFon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0" fontId="26" fillId="0" borderId="0" xfId="0" applyFont="1" applyAlignment="1">
      <alignment/>
    </xf>
    <xf numFmtId="0" fontId="27" fillId="0" borderId="0" xfId="0" applyNumberFormat="1" applyFont="1" applyAlignment="1">
      <alignment wrapText="1"/>
    </xf>
    <xf numFmtId="49" fontId="0" fillId="0" borderId="40" xfId="0" applyNumberFormat="1" applyFont="1" applyBorder="1" applyAlignment="1">
      <alignment vertical="center"/>
    </xf>
    <xf numFmtId="4" fontId="1" fillId="0" borderId="26" xfId="48" applyNumberFormat="1" applyFont="1" applyFill="1" applyBorder="1" applyAlignment="1" applyProtection="1">
      <alignment vertical="center"/>
      <protection/>
    </xf>
    <xf numFmtId="0" fontId="0" fillId="35" borderId="39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4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49" fontId="0" fillId="0" borderId="39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vertical="center"/>
    </xf>
    <xf numFmtId="49" fontId="0" fillId="35" borderId="15" xfId="0" applyNumberFormat="1" applyFill="1" applyBorder="1" applyAlignment="1">
      <alignment vertical="center"/>
    </xf>
    <xf numFmtId="0" fontId="11" fillId="35" borderId="43" xfId="0" applyFont="1" applyFill="1" applyBorder="1" applyAlignment="1">
      <alignment vertical="top"/>
    </xf>
    <xf numFmtId="49" fontId="11" fillId="35" borderId="44" xfId="0" applyNumberFormat="1" applyFont="1" applyFill="1" applyBorder="1" applyAlignment="1">
      <alignment vertical="top"/>
    </xf>
    <xf numFmtId="49" fontId="11" fillId="35" borderId="44" xfId="0" applyNumberFormat="1" applyFont="1" applyFill="1" applyBorder="1" applyAlignment="1">
      <alignment horizontal="left" vertical="top" wrapText="1"/>
    </xf>
    <xf numFmtId="0" fontId="11" fillId="35" borderId="44" xfId="0" applyFont="1" applyFill="1" applyBorder="1" applyAlignment="1">
      <alignment horizontal="center" vertical="top" shrinkToFit="1"/>
    </xf>
    <xf numFmtId="174" fontId="11" fillId="35" borderId="44" xfId="0" applyNumberFormat="1" applyFont="1" applyFill="1" applyBorder="1" applyAlignment="1">
      <alignment vertical="top" shrinkToFit="1"/>
    </xf>
    <xf numFmtId="4" fontId="11" fillId="35" borderId="44" xfId="0" applyNumberFormat="1" applyFont="1" applyFill="1" applyBorder="1" applyAlignment="1">
      <alignment vertical="top" shrinkToFit="1"/>
    </xf>
    <xf numFmtId="49" fontId="11" fillId="35" borderId="40" xfId="0" applyNumberFormat="1" applyFont="1" applyFill="1" applyBorder="1" applyAlignment="1">
      <alignment vertical="top"/>
    </xf>
    <xf numFmtId="49" fontId="11" fillId="35" borderId="40" xfId="0" applyNumberFormat="1" applyFont="1" applyFill="1" applyBorder="1" applyAlignment="1">
      <alignment horizontal="left" vertical="top" wrapText="1"/>
    </xf>
    <xf numFmtId="0" fontId="11" fillId="35" borderId="40" xfId="0" applyFont="1" applyFill="1" applyBorder="1" applyAlignment="1">
      <alignment horizontal="center" vertical="top"/>
    </xf>
    <xf numFmtId="0" fontId="11" fillId="35" borderId="40" xfId="0" applyFont="1" applyFill="1" applyBorder="1" applyAlignment="1">
      <alignment vertical="top"/>
    </xf>
    <xf numFmtId="4" fontId="11" fillId="35" borderId="45" xfId="0" applyNumberFormat="1" applyFont="1" applyFill="1" applyBorder="1" applyAlignment="1">
      <alignment vertical="top"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1" fillId="35" borderId="32" xfId="0" applyFont="1" applyFill="1" applyBorder="1" applyAlignment="1">
      <alignment vertical="top"/>
    </xf>
    <xf numFmtId="0" fontId="0" fillId="35" borderId="0" xfId="0" applyFont="1" applyFill="1" applyAlignment="1">
      <alignment vertical="top"/>
    </xf>
    <xf numFmtId="49" fontId="0" fillId="35" borderId="0" xfId="0" applyNumberFormat="1" applyFont="1" applyFill="1" applyAlignment="1">
      <alignment vertical="top"/>
    </xf>
    <xf numFmtId="0" fontId="0" fillId="35" borderId="0" xfId="0" applyFont="1" applyFill="1" applyAlignment="1">
      <alignment horizontal="center" vertical="top"/>
    </xf>
    <xf numFmtId="174" fontId="0" fillId="35" borderId="0" xfId="0" applyNumberFormat="1" applyFont="1" applyFill="1" applyAlignment="1">
      <alignment vertical="top"/>
    </xf>
    <xf numFmtId="4" fontId="0" fillId="35" borderId="0" xfId="0" applyNumberFormat="1" applyFont="1" applyFill="1" applyAlignment="1">
      <alignment vertical="top"/>
    </xf>
    <xf numFmtId="0" fontId="12" fillId="0" borderId="46" xfId="0" applyFont="1" applyBorder="1" applyAlignment="1">
      <alignment vertical="top"/>
    </xf>
    <xf numFmtId="49" fontId="12" fillId="0" borderId="47" xfId="0" applyNumberFormat="1" applyFont="1" applyBorder="1" applyAlignment="1">
      <alignment vertical="top"/>
    </xf>
    <xf numFmtId="49" fontId="12" fillId="0" borderId="47" xfId="0" applyNumberFormat="1" applyFont="1" applyBorder="1" applyAlignment="1">
      <alignment horizontal="left" vertical="top" wrapText="1"/>
    </xf>
    <xf numFmtId="0" fontId="12" fillId="0" borderId="47" xfId="0" applyFont="1" applyBorder="1" applyAlignment="1">
      <alignment horizontal="center" vertical="top" shrinkToFit="1"/>
    </xf>
    <xf numFmtId="4" fontId="12" fillId="0" borderId="47" xfId="0" applyNumberFormat="1" applyFont="1" applyBorder="1" applyAlignment="1">
      <alignment vertical="top" shrinkToFit="1"/>
    </xf>
    <xf numFmtId="4" fontId="12" fillId="34" borderId="47" xfId="0" applyNumberFormat="1" applyFont="1" applyFill="1" applyBorder="1" applyAlignment="1" applyProtection="1">
      <alignment vertical="top" shrinkToFit="1"/>
      <protection locked="0"/>
    </xf>
    <xf numFmtId="0" fontId="12" fillId="0" borderId="0" xfId="0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0" fontId="22" fillId="35" borderId="39" xfId="0" applyFont="1" applyFill="1" applyBorder="1" applyAlignment="1">
      <alignment/>
    </xf>
    <xf numFmtId="49" fontId="22" fillId="35" borderId="39" xfId="0" applyNumberFormat="1" applyFont="1" applyFill="1" applyBorder="1" applyAlignment="1">
      <alignment/>
    </xf>
    <xf numFmtId="0" fontId="22" fillId="35" borderId="39" xfId="0" applyFont="1" applyFill="1" applyBorder="1" applyAlignment="1">
      <alignment horizontal="center"/>
    </xf>
    <xf numFmtId="0" fontId="22" fillId="35" borderId="32" xfId="0" applyFont="1" applyFill="1" applyBorder="1" applyAlignment="1">
      <alignment/>
    </xf>
    <xf numFmtId="0" fontId="3" fillId="0" borderId="0" xfId="0" applyFont="1" applyAlignment="1">
      <alignment vertical="center"/>
    </xf>
    <xf numFmtId="0" fontId="29" fillId="35" borderId="25" xfId="0" applyFont="1" applyFill="1" applyBorder="1" applyAlignment="1">
      <alignment horizontal="left" vertical="center" indent="1"/>
    </xf>
    <xf numFmtId="0" fontId="0" fillId="35" borderId="25" xfId="0" applyFont="1" applyFill="1" applyBorder="1" applyAlignment="1">
      <alignment horizontal="left" vertical="center" indent="1"/>
    </xf>
    <xf numFmtId="0" fontId="0" fillId="35" borderId="0" xfId="0" applyFont="1" applyFill="1" applyBorder="1" applyAlignment="1">
      <alignment/>
    </xf>
    <xf numFmtId="0" fontId="22" fillId="35" borderId="0" xfId="0" applyFont="1" applyFill="1" applyBorder="1" applyAlignment="1">
      <alignment horizontal="left" vertical="center"/>
    </xf>
    <xf numFmtId="0" fontId="0" fillId="35" borderId="48" xfId="0" applyFont="1" applyFill="1" applyBorder="1" applyAlignment="1">
      <alignment horizontal="left" vertical="center" indent="1"/>
    </xf>
    <xf numFmtId="0" fontId="0" fillId="35" borderId="49" xfId="0" applyFont="1" applyFill="1" applyBorder="1" applyAlignment="1">
      <alignment/>
    </xf>
    <xf numFmtId="0" fontId="22" fillId="35" borderId="49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left" vertical="center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50" xfId="0" applyFont="1" applyBorder="1" applyAlignment="1">
      <alignment/>
    </xf>
    <xf numFmtId="0" fontId="22" fillId="0" borderId="25" xfId="0" applyFont="1" applyBorder="1" applyAlignment="1">
      <alignment horizontal="left" vertical="center" indent="1"/>
    </xf>
    <xf numFmtId="0" fontId="22" fillId="0" borderId="48" xfId="0" applyFont="1" applyBorder="1" applyAlignment="1">
      <alignment horizontal="left" vertical="center" indent="1"/>
    </xf>
    <xf numFmtId="0" fontId="22" fillId="0" borderId="49" xfId="0" applyFont="1" applyBorder="1" applyAlignment="1">
      <alignment horizontal="right" vertical="center"/>
    </xf>
    <xf numFmtId="0" fontId="22" fillId="0" borderId="49" xfId="0" applyFont="1" applyBorder="1" applyAlignment="1">
      <alignment horizontal="left" vertical="center"/>
    </xf>
    <xf numFmtId="0" fontId="22" fillId="0" borderId="49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1" xfId="0" applyFont="1" applyBorder="1" applyAlignment="1">
      <alignment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0" fontId="0" fillId="0" borderId="25" xfId="0" applyFont="1" applyBorder="1" applyAlignment="1">
      <alignment/>
    </xf>
    <xf numFmtId="0" fontId="0" fillId="0" borderId="48" xfId="0" applyFont="1" applyBorder="1" applyAlignment="1">
      <alignment horizontal="left" indent="1"/>
    </xf>
    <xf numFmtId="49" fontId="22" fillId="0" borderId="49" xfId="0" applyNumberFormat="1" applyFont="1" applyBorder="1" applyAlignment="1">
      <alignment horizontal="right" vertical="center"/>
    </xf>
    <xf numFmtId="49" fontId="22" fillId="0" borderId="49" xfId="0" applyNumberFormat="1" applyFont="1" applyFill="1" applyBorder="1" applyAlignment="1">
      <alignment horizontal="left" vertical="center"/>
    </xf>
    <xf numFmtId="0" fontId="0" fillId="0" borderId="49" xfId="0" applyFont="1" applyBorder="1" applyAlignment="1">
      <alignment/>
    </xf>
    <xf numFmtId="0" fontId="0" fillId="0" borderId="49" xfId="0" applyFont="1" applyBorder="1" applyAlignment="1">
      <alignment horizontal="right"/>
    </xf>
    <xf numFmtId="0" fontId="22" fillId="34" borderId="0" xfId="0" applyFont="1" applyFill="1" applyBorder="1" applyAlignment="1" applyProtection="1">
      <alignment horizontal="left" vertical="center"/>
      <protection locked="0"/>
    </xf>
    <xf numFmtId="0" fontId="22" fillId="34" borderId="49" xfId="0" applyFont="1" applyFill="1" applyBorder="1" applyAlignment="1" applyProtection="1">
      <alignment horizontal="right" vertical="center"/>
      <protection locked="0"/>
    </xf>
    <xf numFmtId="0" fontId="0" fillId="0" borderId="49" xfId="0" applyFont="1" applyBorder="1" applyAlignment="1">
      <alignment horizontal="right" vertical="center"/>
    </xf>
    <xf numFmtId="0" fontId="0" fillId="0" borderId="52" xfId="0" applyFont="1" applyBorder="1" applyAlignment="1">
      <alignment horizontal="left" vertical="top" indent="1"/>
    </xf>
    <xf numFmtId="0" fontId="0" fillId="0" borderId="44" xfId="0" applyFont="1" applyBorder="1" applyAlignment="1">
      <alignment vertical="top"/>
    </xf>
    <xf numFmtId="0" fontId="22" fillId="0" borderId="44" xfId="0" applyFont="1" applyFill="1" applyBorder="1" applyAlignment="1">
      <alignment horizontal="left" vertical="top"/>
    </xf>
    <xf numFmtId="0" fontId="22" fillId="0" borderId="44" xfId="0" applyFont="1" applyBorder="1" applyAlignment="1">
      <alignment vertical="center"/>
    </xf>
    <xf numFmtId="0" fontId="0" fillId="0" borderId="44" xfId="0" applyFont="1" applyBorder="1" applyAlignment="1">
      <alignment horizontal="right" vertical="center"/>
    </xf>
    <xf numFmtId="0" fontId="0" fillId="0" borderId="53" xfId="0" applyFont="1" applyBorder="1" applyAlignment="1">
      <alignment/>
    </xf>
    <xf numFmtId="0" fontId="0" fillId="0" borderId="49" xfId="0" applyFont="1" applyBorder="1" applyAlignment="1">
      <alignment horizontal="left"/>
    </xf>
    <xf numFmtId="0" fontId="0" fillId="0" borderId="54" xfId="0" applyFont="1" applyBorder="1" applyAlignment="1">
      <alignment horizontal="left" vertical="center" indent="1"/>
    </xf>
    <xf numFmtId="0" fontId="0" fillId="0" borderId="40" xfId="0" applyFont="1" applyBorder="1" applyAlignment="1">
      <alignment horizontal="left" vertical="center"/>
    </xf>
    <xf numFmtId="0" fontId="0" fillId="0" borderId="40" xfId="0" applyFont="1" applyBorder="1" applyAlignment="1">
      <alignment/>
    </xf>
    <xf numFmtId="0" fontId="22" fillId="0" borderId="54" xfId="0" applyFont="1" applyBorder="1" applyAlignment="1">
      <alignment horizontal="left" vertical="center" indent="1"/>
    </xf>
    <xf numFmtId="0" fontId="22" fillId="0" borderId="40" xfId="0" applyFont="1" applyBorder="1" applyAlignment="1">
      <alignment horizontal="left" vertical="center"/>
    </xf>
    <xf numFmtId="0" fontId="22" fillId="0" borderId="40" xfId="0" applyFont="1" applyBorder="1" applyAlignment="1">
      <alignment/>
    </xf>
    <xf numFmtId="0" fontId="0" fillId="0" borderId="54" xfId="0" applyFont="1" applyBorder="1" applyAlignment="1">
      <alignment horizontal="left" indent="1"/>
    </xf>
    <xf numFmtId="1" fontId="22" fillId="0" borderId="40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left" vertical="center" indent="1"/>
    </xf>
    <xf numFmtId="0" fontId="22" fillId="0" borderId="40" xfId="0" applyFont="1" applyBorder="1" applyAlignment="1">
      <alignment vertical="center"/>
    </xf>
    <xf numFmtId="0" fontId="0" fillId="0" borderId="48" xfId="0" applyFont="1" applyBorder="1" applyAlignment="1">
      <alignment horizontal="left" vertical="center" indent="1"/>
    </xf>
    <xf numFmtId="0" fontId="0" fillId="0" borderId="49" xfId="0" applyFont="1" applyBorder="1" applyAlignment="1">
      <alignment horizontal="left" vertical="center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22" fillId="0" borderId="49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14" fontId="22" fillId="0" borderId="49" xfId="0" applyNumberFormat="1" applyFont="1" applyBorder="1" applyAlignment="1">
      <alignment horizontal="center" vertical="top"/>
    </xf>
    <xf numFmtId="0" fontId="22" fillId="0" borderId="2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49" xfId="0" applyFont="1" applyBorder="1" applyAlignment="1">
      <alignment/>
    </xf>
    <xf numFmtId="0" fontId="22" fillId="0" borderId="49" xfId="0" applyFont="1" applyBorder="1" applyAlignment="1">
      <alignment/>
    </xf>
    <xf numFmtId="0" fontId="22" fillId="0" borderId="50" xfId="0" applyFont="1" applyBorder="1" applyAlignment="1">
      <alignment horizontal="right"/>
    </xf>
    <xf numFmtId="0" fontId="0" fillId="0" borderId="4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55" xfId="0" applyFont="1" applyBorder="1" applyAlignment="1">
      <alignment horizontal="right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9" fontId="3" fillId="35" borderId="17" xfId="0" applyNumberFormat="1" applyFont="1" applyFill="1" applyBorder="1" applyAlignment="1" applyProtection="1">
      <alignment horizontal="left" vertical="center"/>
      <protection/>
    </xf>
    <xf numFmtId="4" fontId="1" fillId="0" borderId="33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Alignment="1">
      <alignment vertical="center"/>
    </xf>
    <xf numFmtId="0" fontId="22" fillId="35" borderId="27" xfId="0" applyFont="1" applyFill="1" applyBorder="1" applyAlignment="1">
      <alignment horizontal="left" vertical="center" indent="1"/>
    </xf>
    <xf numFmtId="4" fontId="22" fillId="35" borderId="28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/>
    </xf>
    <xf numFmtId="49" fontId="1" fillId="0" borderId="0" xfId="0" applyNumberFormat="1" applyFont="1" applyFill="1" applyBorder="1" applyAlignment="1">
      <alignment horizontal="justify"/>
    </xf>
    <xf numFmtId="0" fontId="11" fillId="0" borderId="15" xfId="0" applyFont="1" applyFill="1" applyBorder="1" applyAlignment="1">
      <alignment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35" borderId="4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justify"/>
    </xf>
    <xf numFmtId="44" fontId="11" fillId="35" borderId="55" xfId="48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justify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/>
      <protection/>
    </xf>
    <xf numFmtId="49" fontId="0" fillId="0" borderId="56" xfId="0" applyNumberFormat="1" applyFont="1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49" fontId="0" fillId="0" borderId="32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49" fontId="0" fillId="35" borderId="57" xfId="0" applyNumberFormat="1" applyFill="1" applyBorder="1" applyAlignment="1" applyProtection="1">
      <alignment vertical="center"/>
      <protection/>
    </xf>
    <xf numFmtId="49" fontId="0" fillId="35" borderId="26" xfId="0" applyNumberForma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0" fillId="0" borderId="0" xfId="0" applyNumberFormat="1" applyFont="1" applyBorder="1" applyAlignment="1" applyProtection="1">
      <alignment horizontal="left" vertical="center"/>
      <protection/>
    </xf>
    <xf numFmtId="4" fontId="0" fillId="0" borderId="0" xfId="0" applyNumberFormat="1" applyFont="1" applyBorder="1" applyAlignment="1" applyProtection="1">
      <alignment vertical="center"/>
      <protection/>
    </xf>
    <xf numFmtId="0" fontId="22" fillId="36" borderId="0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2" fillId="36" borderId="0" xfId="0" applyFont="1" applyFill="1" applyBorder="1" applyAlignment="1" applyProtection="1">
      <alignment horizontal="left" vertical="center"/>
      <protection/>
    </xf>
    <xf numFmtId="4" fontId="0" fillId="36" borderId="0" xfId="0" applyNumberFormat="1" applyFont="1" applyFill="1" applyBorder="1" applyAlignment="1" applyProtection="1">
      <alignment vertical="center"/>
      <protection/>
    </xf>
    <xf numFmtId="4" fontId="22" fillId="36" borderId="0" xfId="0" applyNumberFormat="1" applyFont="1" applyFill="1" applyBorder="1" applyAlignment="1" applyProtection="1">
      <alignment vertical="center"/>
      <protection/>
    </xf>
    <xf numFmtId="0" fontId="22" fillId="36" borderId="41" xfId="0" applyFont="1" applyFill="1" applyBorder="1" applyAlignment="1" applyProtection="1">
      <alignment horizontal="center" vertical="center" wrapText="1"/>
      <protection/>
    </xf>
    <xf numFmtId="0" fontId="22" fillId="36" borderId="42" xfId="0" applyFont="1" applyFill="1" applyBorder="1" applyAlignment="1" applyProtection="1">
      <alignment horizontal="center" vertical="center" wrapText="1"/>
      <protection/>
    </xf>
    <xf numFmtId="4" fontId="22" fillId="36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2" fillId="35" borderId="25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ont="1" applyFill="1" applyBorder="1" applyAlignment="1" applyProtection="1">
      <alignment vertical="center"/>
      <protection/>
    </xf>
    <xf numFmtId="0" fontId="0" fillId="35" borderId="54" xfId="0" applyFont="1" applyFill="1" applyBorder="1" applyAlignment="1" applyProtection="1">
      <alignment/>
      <protection/>
    </xf>
    <xf numFmtId="0" fontId="22" fillId="35" borderId="40" xfId="0" applyFont="1" applyFill="1" applyBorder="1" applyAlignment="1" applyProtection="1">
      <alignment horizontal="left"/>
      <protection/>
    </xf>
    <xf numFmtId="0" fontId="0" fillId="35" borderId="40" xfId="0" applyFont="1" applyFill="1" applyBorder="1" applyAlignment="1" applyProtection="1">
      <alignment horizontal="left"/>
      <protection/>
    </xf>
    <xf numFmtId="4" fontId="0" fillId="35" borderId="4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2" fillId="35" borderId="25" xfId="0" applyFont="1" applyFill="1" applyBorder="1" applyAlignment="1" applyProtection="1">
      <alignment/>
      <protection/>
    </xf>
    <xf numFmtId="0" fontId="22" fillId="35" borderId="0" xfId="0" applyFont="1" applyFill="1" applyBorder="1" applyAlignment="1" applyProtection="1">
      <alignment horizontal="left"/>
      <protection/>
    </xf>
    <xf numFmtId="4" fontId="22" fillId="35" borderId="0" xfId="0" applyNumberFormat="1" applyFont="1" applyFill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4" fontId="0" fillId="0" borderId="26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 vertical="center"/>
      <protection/>
    </xf>
    <xf numFmtId="4" fontId="0" fillId="34" borderId="11" xfId="48" applyNumberFormat="1" applyFont="1" applyFill="1" applyBorder="1" applyAlignment="1" applyProtection="1">
      <alignment/>
      <protection locked="0"/>
    </xf>
    <xf numFmtId="49" fontId="0" fillId="0" borderId="42" xfId="0" applyNumberFormat="1" applyFont="1" applyBorder="1" applyAlignment="1" applyProtection="1">
      <alignment vertical="center"/>
      <protection/>
    </xf>
    <xf numFmtId="49" fontId="0" fillId="0" borderId="39" xfId="0" applyNumberFormat="1" applyFont="1" applyBorder="1" applyAlignment="1" applyProtection="1">
      <alignment vertical="center"/>
      <protection/>
    </xf>
    <xf numFmtId="49" fontId="0" fillId="35" borderId="15" xfId="0" applyNumberFormat="1" applyFill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0" fontId="11" fillId="35" borderId="18" xfId="0" applyFont="1" applyFill="1" applyBorder="1" applyAlignment="1" applyProtection="1">
      <alignment/>
      <protection/>
    </xf>
    <xf numFmtId="0" fontId="11" fillId="35" borderId="56" xfId="0" applyFont="1" applyFill="1" applyBorder="1" applyAlignment="1" applyProtection="1">
      <alignment/>
      <protection/>
    </xf>
    <xf numFmtId="0" fontId="11" fillId="35" borderId="58" xfId="0" applyFont="1" applyFill="1" applyBorder="1" applyAlignment="1" applyProtection="1">
      <alignment/>
      <protection/>
    </xf>
    <xf numFmtId="0" fontId="11" fillId="35" borderId="59" xfId="0" applyFont="1" applyFill="1" applyBorder="1" applyAlignment="1" applyProtection="1">
      <alignment/>
      <protection/>
    </xf>
    <xf numFmtId="0" fontId="11" fillId="35" borderId="13" xfId="0" applyFont="1" applyFill="1" applyBorder="1" applyAlignment="1" applyProtection="1">
      <alignment/>
      <protection/>
    </xf>
    <xf numFmtId="0" fontId="11" fillId="35" borderId="60" xfId="0" applyFont="1" applyFill="1" applyBorder="1" applyAlignment="1" applyProtection="1">
      <alignment/>
      <protection/>
    </xf>
    <xf numFmtId="0" fontId="11" fillId="35" borderId="39" xfId="0" applyFont="1" applyFill="1" applyBorder="1" applyAlignment="1" applyProtection="1">
      <alignment/>
      <protection/>
    </xf>
    <xf numFmtId="0" fontId="11" fillId="35" borderId="61" xfId="0" applyFont="1" applyFill="1" applyBorder="1" applyAlignment="1" applyProtection="1">
      <alignment/>
      <protection/>
    </xf>
    <xf numFmtId="0" fontId="12" fillId="35" borderId="62" xfId="0" applyFont="1" applyFill="1" applyBorder="1" applyAlignment="1" applyProtection="1">
      <alignment horizontal="center" vertical="center"/>
      <protection/>
    </xf>
    <xf numFmtId="0" fontId="11" fillId="35" borderId="63" xfId="0" applyFont="1" applyFill="1" applyBorder="1" applyAlignment="1" applyProtection="1">
      <alignment horizontal="left" vertical="center"/>
      <protection/>
    </xf>
    <xf numFmtId="0" fontId="12" fillId="35" borderId="64" xfId="0" applyFont="1" applyFill="1" applyBorder="1" applyAlignment="1" applyProtection="1">
      <alignment horizontal="center" vertical="center"/>
      <protection/>
    </xf>
    <xf numFmtId="0" fontId="12" fillId="35" borderId="63" xfId="0" applyFont="1" applyFill="1" applyBorder="1" applyAlignment="1" applyProtection="1">
      <alignment horizontal="center" vertical="center"/>
      <protection/>
    </xf>
    <xf numFmtId="4" fontId="12" fillId="35" borderId="63" xfId="0" applyNumberFormat="1" applyFont="1" applyFill="1" applyBorder="1" applyAlignment="1" applyProtection="1">
      <alignment horizontal="center" vertical="center"/>
      <protection/>
    </xf>
    <xf numFmtId="4" fontId="11" fillId="35" borderId="63" xfId="0" applyNumberFormat="1" applyFont="1" applyFill="1" applyBorder="1" applyAlignment="1" applyProtection="1">
      <alignment/>
      <protection/>
    </xf>
    <xf numFmtId="4" fontId="12" fillId="35" borderId="63" xfId="0" applyNumberFormat="1" applyFont="1" applyFill="1" applyBorder="1" applyAlignment="1" applyProtection="1">
      <alignment/>
      <protection/>
    </xf>
    <xf numFmtId="4" fontId="11" fillId="35" borderId="65" xfId="0" applyNumberFormat="1" applyFont="1" applyFill="1" applyBorder="1" applyAlignment="1" applyProtection="1">
      <alignment/>
      <protection/>
    </xf>
    <xf numFmtId="0" fontId="12" fillId="0" borderId="66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left" vertical="center"/>
      <protection/>
    </xf>
    <xf numFmtId="0" fontId="12" fillId="0" borderId="67" xfId="0" applyFont="1" applyBorder="1" applyAlignment="1" applyProtection="1">
      <alignment horizontal="center" vertical="center"/>
      <protection/>
    </xf>
    <xf numFmtId="1" fontId="12" fillId="0" borderId="30" xfId="0" applyNumberFormat="1" applyFont="1" applyBorder="1" applyAlignment="1" applyProtection="1">
      <alignment horizontal="center" vertical="center"/>
      <protection/>
    </xf>
    <xf numFmtId="4" fontId="12" fillId="0" borderId="30" xfId="0" applyNumberFormat="1" applyFont="1" applyBorder="1" applyAlignment="1" applyProtection="1">
      <alignment horizontal="center" vertical="center"/>
      <protection/>
    </xf>
    <xf numFmtId="4" fontId="12" fillId="0" borderId="68" xfId="0" applyNumberFormat="1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0" fillId="0" borderId="67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16" xfId="46" applyFont="1" applyBorder="1" applyAlignment="1" applyProtection="1">
      <alignment horizontal="left" vertical="center"/>
      <protection/>
    </xf>
    <xf numFmtId="0" fontId="12" fillId="0" borderId="16" xfId="46" applyFont="1" applyBorder="1" applyAlignment="1" applyProtection="1">
      <alignment horizontal="center" vertical="center"/>
      <protection/>
    </xf>
    <xf numFmtId="0" fontId="12" fillId="0" borderId="69" xfId="46" applyFont="1" applyBorder="1" applyAlignment="1" applyProtection="1">
      <alignment horizontal="center" vertical="center"/>
      <protection/>
    </xf>
    <xf numFmtId="1" fontId="12" fillId="0" borderId="16" xfId="46" applyNumberFormat="1" applyFont="1" applyBorder="1" applyAlignment="1" applyProtection="1">
      <alignment horizontal="center" vertical="center"/>
      <protection/>
    </xf>
    <xf numFmtId="4" fontId="12" fillId="0" borderId="30" xfId="0" applyNumberFormat="1" applyFont="1" applyBorder="1" applyAlignment="1" applyProtection="1">
      <alignment horizontal="center"/>
      <protection/>
    </xf>
    <xf numFmtId="4" fontId="12" fillId="0" borderId="68" xfId="0" applyNumberFormat="1" applyFont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66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vertical="center"/>
      <protection/>
    </xf>
    <xf numFmtId="0" fontId="12" fillId="0" borderId="67" xfId="0" applyFont="1" applyFill="1" applyBorder="1" applyAlignment="1" applyProtection="1">
      <alignment horizontal="center" vertical="center"/>
      <protection/>
    </xf>
    <xf numFmtId="1" fontId="12" fillId="0" borderId="30" xfId="0" applyNumberFormat="1" applyFont="1" applyFill="1" applyBorder="1" applyAlignment="1" applyProtection="1">
      <alignment horizontal="center" vertical="center"/>
      <protection/>
    </xf>
    <xf numFmtId="4" fontId="12" fillId="0" borderId="30" xfId="0" applyNumberFormat="1" applyFont="1" applyFill="1" applyBorder="1" applyAlignment="1" applyProtection="1">
      <alignment horizontal="center" vertical="center"/>
      <protection/>
    </xf>
    <xf numFmtId="4" fontId="12" fillId="0" borderId="30" xfId="0" applyNumberFormat="1" applyFont="1" applyFill="1" applyBorder="1" applyAlignment="1" applyProtection="1">
      <alignment horizontal="center"/>
      <protection/>
    </xf>
    <xf numFmtId="4" fontId="12" fillId="0" borderId="68" xfId="0" applyNumberFormat="1" applyFont="1" applyFill="1" applyBorder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4" fontId="12" fillId="0" borderId="68" xfId="0" applyNumberFormat="1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169" fontId="12" fillId="0" borderId="30" xfId="0" applyNumberFormat="1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left" vertical="center"/>
      <protection/>
    </xf>
    <xf numFmtId="0" fontId="12" fillId="0" borderId="67" xfId="0" applyFont="1" applyBorder="1" applyAlignment="1" applyProtection="1">
      <alignment horizontal="center" vertical="center"/>
      <protection/>
    </xf>
    <xf numFmtId="4" fontId="12" fillId="0" borderId="30" xfId="0" applyNumberFormat="1" applyFont="1" applyBorder="1" applyAlignment="1" applyProtection="1">
      <alignment horizontal="center"/>
      <protection/>
    </xf>
    <xf numFmtId="4" fontId="12" fillId="0" borderId="68" xfId="0" applyNumberFormat="1" applyFont="1" applyBorder="1" applyAlignment="1" applyProtection="1">
      <alignment horizontal="center"/>
      <protection/>
    </xf>
    <xf numFmtId="1" fontId="12" fillId="0" borderId="30" xfId="0" applyNumberFormat="1" applyFont="1" applyBorder="1" applyAlignment="1" applyProtection="1">
      <alignment horizontal="center" vertical="center"/>
      <protection/>
    </xf>
    <xf numFmtId="0" fontId="12" fillId="35" borderId="66" xfId="0" applyFont="1" applyFill="1" applyBorder="1" applyAlignment="1" applyProtection="1">
      <alignment horizontal="center" vertical="center"/>
      <protection/>
    </xf>
    <xf numFmtId="0" fontId="11" fillId="35" borderId="30" xfId="0" applyFont="1" applyFill="1" applyBorder="1" applyAlignment="1" applyProtection="1">
      <alignment vertical="center"/>
      <protection/>
    </xf>
    <xf numFmtId="0" fontId="20" fillId="35" borderId="67" xfId="0" applyFont="1" applyFill="1" applyBorder="1" applyAlignment="1" applyProtection="1">
      <alignment horizontal="center" vertical="center"/>
      <protection/>
    </xf>
    <xf numFmtId="1" fontId="20" fillId="35" borderId="30" xfId="0" applyNumberFormat="1" applyFont="1" applyFill="1" applyBorder="1" applyAlignment="1" applyProtection="1">
      <alignment horizontal="center" vertical="center"/>
      <protection/>
    </xf>
    <xf numFmtId="4" fontId="20" fillId="35" borderId="30" xfId="0" applyNumberFormat="1" applyFont="1" applyFill="1" applyBorder="1" applyAlignment="1" applyProtection="1">
      <alignment horizontal="center" vertical="center"/>
      <protection/>
    </xf>
    <xf numFmtId="4" fontId="20" fillId="35" borderId="30" xfId="0" applyNumberFormat="1" applyFont="1" applyFill="1" applyBorder="1" applyAlignment="1" applyProtection="1">
      <alignment horizontal="center"/>
      <protection/>
    </xf>
    <xf numFmtId="4" fontId="11" fillId="35" borderId="68" xfId="0" applyNumberFormat="1" applyFont="1" applyFill="1" applyBorder="1" applyAlignment="1" applyProtection="1">
      <alignment horizontal="center"/>
      <protection/>
    </xf>
    <xf numFmtId="4" fontId="20" fillId="0" borderId="30" xfId="0" applyNumberFormat="1" applyFont="1" applyBorder="1" applyAlignment="1" applyProtection="1">
      <alignment horizontal="center" vertical="center"/>
      <protection/>
    </xf>
    <xf numFmtId="4" fontId="20" fillId="0" borderId="30" xfId="0" applyNumberFormat="1" applyFont="1" applyBorder="1" applyAlignment="1" applyProtection="1">
      <alignment horizontal="center"/>
      <protection/>
    </xf>
    <xf numFmtId="1" fontId="11" fillId="35" borderId="70" xfId="0" applyNumberFormat="1" applyFont="1" applyFill="1" applyBorder="1" applyAlignment="1" applyProtection="1">
      <alignment horizontal="center" vertical="center"/>
      <protection/>
    </xf>
    <xf numFmtId="1" fontId="11" fillId="35" borderId="69" xfId="0" applyNumberFormat="1" applyFont="1" applyFill="1" applyBorder="1" applyAlignment="1" applyProtection="1">
      <alignment horizontal="center" vertical="center"/>
      <protection/>
    </xf>
    <xf numFmtId="1" fontId="11" fillId="35" borderId="16" xfId="0" applyNumberFormat="1" applyFont="1" applyFill="1" applyBorder="1" applyAlignment="1" applyProtection="1">
      <alignment horizontal="center" vertical="center"/>
      <protection/>
    </xf>
    <xf numFmtId="1" fontId="12" fillId="0" borderId="70" xfId="0" applyNumberFormat="1" applyFont="1" applyBorder="1" applyAlignment="1" applyProtection="1">
      <alignment horizontal="center" vertical="center"/>
      <protection/>
    </xf>
    <xf numFmtId="1" fontId="12" fillId="0" borderId="16" xfId="0" applyNumberFormat="1" applyFont="1" applyBorder="1" applyAlignment="1" applyProtection="1">
      <alignment horizontal="left" vertical="center"/>
      <protection/>
    </xf>
    <xf numFmtId="1" fontId="12" fillId="0" borderId="69" xfId="0" applyNumberFormat="1" applyFont="1" applyBorder="1" applyAlignment="1" applyProtection="1">
      <alignment horizontal="center" vertical="center"/>
      <protection/>
    </xf>
    <xf numFmtId="1" fontId="12" fillId="0" borderId="16" xfId="0" applyNumberFormat="1" applyFont="1" applyBorder="1" applyAlignment="1" applyProtection="1">
      <alignment horizontal="center" vertical="center"/>
      <protection/>
    </xf>
    <xf numFmtId="0" fontId="21" fillId="35" borderId="70" xfId="0" applyFont="1" applyFill="1" applyBorder="1" applyAlignment="1" applyProtection="1">
      <alignment horizontal="center" vertical="center"/>
      <protection/>
    </xf>
    <xf numFmtId="0" fontId="21" fillId="35" borderId="69" xfId="0" applyFont="1" applyFill="1" applyBorder="1" applyAlignment="1" applyProtection="1">
      <alignment horizontal="center" vertical="center"/>
      <protection/>
    </xf>
    <xf numFmtId="1" fontId="21" fillId="35" borderId="16" xfId="0" applyNumberFormat="1" applyFont="1" applyFill="1" applyBorder="1" applyAlignment="1" applyProtection="1">
      <alignment horizontal="center" vertical="center"/>
      <protection/>
    </xf>
    <xf numFmtId="4" fontId="20" fillId="35" borderId="16" xfId="0" applyNumberFormat="1" applyFont="1" applyFill="1" applyBorder="1" applyAlignment="1" applyProtection="1">
      <alignment horizontal="center" vertical="center"/>
      <protection/>
    </xf>
    <xf numFmtId="4" fontId="20" fillId="35" borderId="16" xfId="0" applyNumberFormat="1" applyFont="1" applyFill="1" applyBorder="1" applyAlignment="1" applyProtection="1">
      <alignment horizontal="center"/>
      <protection/>
    </xf>
    <xf numFmtId="4" fontId="11" fillId="35" borderId="29" xfId="0" applyNumberFormat="1" applyFont="1" applyFill="1" applyBorder="1" applyAlignment="1" applyProtection="1">
      <alignment horizontal="center"/>
      <protection/>
    </xf>
    <xf numFmtId="0" fontId="12" fillId="0" borderId="7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4" fontId="12" fillId="0" borderId="16" xfId="0" applyNumberFormat="1" applyFont="1" applyBorder="1" applyAlignment="1" applyProtection="1">
      <alignment horizontal="center"/>
      <protection/>
    </xf>
    <xf numFmtId="4" fontId="12" fillId="0" borderId="29" xfId="0" applyNumberFormat="1" applyFont="1" applyBorder="1" applyAlignment="1" applyProtection="1">
      <alignment horizontal="center"/>
      <protection/>
    </xf>
    <xf numFmtId="0" fontId="12" fillId="0" borderId="69" xfId="0" applyFont="1" applyBorder="1" applyAlignment="1" applyProtection="1">
      <alignment horizontal="center" vertical="center"/>
      <protection/>
    </xf>
    <xf numFmtId="4" fontId="20" fillId="0" borderId="16" xfId="0" applyNumberFormat="1" applyFont="1" applyBorder="1" applyAlignment="1" applyProtection="1">
      <alignment horizontal="center" vertical="center"/>
      <protection/>
    </xf>
    <xf numFmtId="0" fontId="11" fillId="0" borderId="70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11" fillId="0" borderId="69" xfId="0" applyFont="1" applyBorder="1" applyAlignment="1" applyProtection="1">
      <alignment horizontal="center" vertical="center"/>
      <protection/>
    </xf>
    <xf numFmtId="1" fontId="11" fillId="0" borderId="16" xfId="0" applyNumberFormat="1" applyFont="1" applyBorder="1" applyAlignment="1" applyProtection="1">
      <alignment horizontal="center" vertical="center"/>
      <protection/>
    </xf>
    <xf numFmtId="4" fontId="11" fillId="0" borderId="16" xfId="0" applyNumberFormat="1" applyFont="1" applyBorder="1" applyAlignment="1" applyProtection="1">
      <alignment horizontal="center" vertical="center"/>
      <protection/>
    </xf>
    <xf numFmtId="4" fontId="11" fillId="0" borderId="16" xfId="0" applyNumberFormat="1" applyFont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/>
      <protection/>
    </xf>
    <xf numFmtId="49" fontId="12" fillId="0" borderId="16" xfId="0" applyNumberFormat="1" applyFont="1" applyBorder="1" applyAlignment="1" applyProtection="1">
      <alignment horizontal="left" vertical="center"/>
      <protection/>
    </xf>
    <xf numFmtId="0" fontId="11" fillId="0" borderId="71" xfId="0" applyFont="1" applyBorder="1" applyAlignment="1" applyProtection="1">
      <alignment horizontal="center" vertical="center"/>
      <protection/>
    </xf>
    <xf numFmtId="0" fontId="11" fillId="0" borderId="72" xfId="0" applyFont="1" applyBorder="1" applyAlignment="1" applyProtection="1">
      <alignment horizontal="left" vertical="center"/>
      <protection/>
    </xf>
    <xf numFmtId="0" fontId="11" fillId="0" borderId="73" xfId="0" applyFont="1" applyBorder="1" applyAlignment="1" applyProtection="1">
      <alignment horizontal="center" vertical="center"/>
      <protection/>
    </xf>
    <xf numFmtId="1" fontId="11" fillId="0" borderId="72" xfId="0" applyNumberFormat="1" applyFont="1" applyBorder="1" applyAlignment="1" applyProtection="1">
      <alignment horizontal="center" vertical="center"/>
      <protection/>
    </xf>
    <xf numFmtId="4" fontId="11" fillId="0" borderId="72" xfId="0" applyNumberFormat="1" applyFont="1" applyBorder="1" applyAlignment="1" applyProtection="1">
      <alignment horizontal="center" vertical="center"/>
      <protection/>
    </xf>
    <xf numFmtId="4" fontId="11" fillId="0" borderId="72" xfId="0" applyNumberFormat="1" applyFont="1" applyBorder="1" applyAlignment="1" applyProtection="1">
      <alignment horizontal="center"/>
      <protection/>
    </xf>
    <xf numFmtId="4" fontId="12" fillId="0" borderId="74" xfId="0" applyNumberFormat="1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25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1" fillId="0" borderId="25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" fontId="22" fillId="0" borderId="32" xfId="0" applyNumberFormat="1" applyFont="1" applyBorder="1" applyAlignment="1">
      <alignment horizontal="right" vertical="center" indent="1"/>
    </xf>
    <xf numFmtId="4" fontId="22" fillId="0" borderId="45" xfId="0" applyNumberFormat="1" applyFont="1" applyBorder="1" applyAlignment="1">
      <alignment horizontal="right" vertical="center" indent="1"/>
    </xf>
    <xf numFmtId="4" fontId="22" fillId="0" borderId="33" xfId="0" applyNumberFormat="1" applyFont="1" applyBorder="1" applyAlignment="1">
      <alignment horizontal="right" vertical="center" indent="1"/>
    </xf>
    <xf numFmtId="9" fontId="22" fillId="0" borderId="32" xfId="0" applyNumberFormat="1" applyFont="1" applyBorder="1" applyAlignment="1">
      <alignment horizontal="center" vertical="center"/>
    </xf>
    <xf numFmtId="9" fontId="22" fillId="0" borderId="45" xfId="0" applyNumberFormat="1" applyFont="1" applyBorder="1" applyAlignment="1">
      <alignment horizontal="center" vertical="center"/>
    </xf>
    <xf numFmtId="4" fontId="22" fillId="0" borderId="32" xfId="0" applyNumberFormat="1" applyFont="1" applyBorder="1" applyAlignment="1">
      <alignment vertical="center"/>
    </xf>
    <xf numFmtId="4" fontId="22" fillId="0" borderId="40" xfId="0" applyNumberFormat="1" applyFont="1" applyBorder="1" applyAlignment="1">
      <alignment vertical="center"/>
    </xf>
    <xf numFmtId="4" fontId="22" fillId="0" borderId="32" xfId="0" applyNumberFormat="1" applyFont="1" applyBorder="1" applyAlignment="1">
      <alignment horizontal="right" vertical="center"/>
    </xf>
    <xf numFmtId="4" fontId="22" fillId="0" borderId="40" xfId="0" applyNumberFormat="1" applyFont="1" applyBorder="1" applyAlignment="1">
      <alignment horizontal="right" vertical="center"/>
    </xf>
    <xf numFmtId="4" fontId="22" fillId="0" borderId="75" xfId="0" applyNumberFormat="1" applyFont="1" applyBorder="1" applyAlignment="1">
      <alignment horizontal="right" vertical="center"/>
    </xf>
    <xf numFmtId="4" fontId="22" fillId="0" borderId="49" xfId="0" applyNumberFormat="1" applyFont="1" applyBorder="1" applyAlignment="1">
      <alignment horizontal="right" vertical="center"/>
    </xf>
    <xf numFmtId="4" fontId="0" fillId="0" borderId="32" xfId="0" applyNumberFormat="1" applyFont="1" applyBorder="1" applyAlignment="1">
      <alignment horizontal="right" vertical="center" indent="1"/>
    </xf>
    <xf numFmtId="4" fontId="0" fillId="0" borderId="33" xfId="0" applyNumberFormat="1" applyFont="1" applyBorder="1" applyAlignment="1">
      <alignment horizontal="right" vertical="center" indent="1"/>
    </xf>
    <xf numFmtId="4" fontId="0" fillId="0" borderId="45" xfId="0" applyNumberFormat="1" applyFont="1" applyBorder="1" applyAlignment="1">
      <alignment horizontal="right" vertical="center" indent="1"/>
    </xf>
    <xf numFmtId="2" fontId="22" fillId="35" borderId="28" xfId="0" applyNumberFormat="1" applyFont="1" applyFill="1" applyBorder="1" applyAlignment="1">
      <alignment horizontal="right" vertical="center"/>
    </xf>
    <xf numFmtId="4" fontId="22" fillId="35" borderId="28" xfId="0" applyNumberFormat="1" applyFont="1" applyFill="1" applyBorder="1" applyAlignment="1">
      <alignment horizontal="right" vertical="center"/>
    </xf>
    <xf numFmtId="49" fontId="1" fillId="0" borderId="39" xfId="0" applyNumberFormat="1" applyFont="1" applyFill="1" applyBorder="1" applyAlignment="1" applyProtection="1">
      <alignment horizontal="left" vertical="center"/>
      <protection/>
    </xf>
    <xf numFmtId="0" fontId="28" fillId="0" borderId="76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2" fillId="35" borderId="0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 wrapText="1"/>
    </xf>
    <xf numFmtId="0" fontId="0" fillId="35" borderId="50" xfId="0" applyFont="1" applyFill="1" applyBorder="1" applyAlignment="1">
      <alignment wrapText="1"/>
    </xf>
    <xf numFmtId="0" fontId="22" fillId="35" borderId="49" xfId="0" applyFont="1" applyFill="1" applyBorder="1" applyAlignment="1">
      <alignment horizontal="left" vertical="center" wrapText="1"/>
    </xf>
    <xf numFmtId="0" fontId="22" fillId="35" borderId="51" xfId="0" applyFont="1" applyFill="1" applyBorder="1" applyAlignment="1">
      <alignment horizontal="left" vertical="center" wrapText="1"/>
    </xf>
    <xf numFmtId="0" fontId="22" fillId="34" borderId="44" xfId="0" applyFont="1" applyFill="1" applyBorder="1" applyAlignment="1" applyProtection="1">
      <alignment horizontal="left" vertical="center"/>
      <protection locked="0"/>
    </xf>
    <xf numFmtId="0" fontId="22" fillId="34" borderId="0" xfId="0" applyFont="1" applyFill="1" applyBorder="1" applyAlignment="1" applyProtection="1">
      <alignment horizontal="left" vertical="center"/>
      <protection locked="0"/>
    </xf>
    <xf numFmtId="0" fontId="22" fillId="34" borderId="49" xfId="0" applyFont="1" applyFill="1" applyBorder="1" applyAlignment="1" applyProtection="1">
      <alignment horizontal="left" vertical="center"/>
      <protection locked="0"/>
    </xf>
    <xf numFmtId="49" fontId="30" fillId="35" borderId="44" xfId="0" applyNumberFormat="1" applyFont="1" applyFill="1" applyBorder="1" applyAlignment="1">
      <alignment horizontal="center" vertical="center" wrapText="1"/>
    </xf>
    <xf numFmtId="49" fontId="30" fillId="35" borderId="53" xfId="0" applyNumberFormat="1" applyFont="1" applyFill="1" applyBorder="1" applyAlignment="1">
      <alignment horizontal="center" vertical="center" wrapText="1"/>
    </xf>
    <xf numFmtId="49" fontId="3" fillId="35" borderId="42" xfId="0" applyNumberFormat="1" applyFont="1" applyFill="1" applyBorder="1" applyAlignment="1" applyProtection="1">
      <alignment horizontal="left" vertical="center"/>
      <protection/>
    </xf>
    <xf numFmtId="1" fontId="0" fillId="0" borderId="49" xfId="0" applyNumberFormat="1" applyFont="1" applyBorder="1" applyAlignment="1">
      <alignment horizontal="right" indent="1"/>
    </xf>
    <xf numFmtId="0" fontId="0" fillId="0" borderId="49" xfId="0" applyFont="1" applyBorder="1" applyAlignment="1">
      <alignment horizontal="right" indent="1"/>
    </xf>
    <xf numFmtId="0" fontId="0" fillId="0" borderId="51" xfId="0" applyFont="1" applyBorder="1" applyAlignment="1">
      <alignment horizontal="right" indent="1"/>
    </xf>
    <xf numFmtId="0" fontId="3" fillId="35" borderId="57" xfId="0" applyFont="1" applyFill="1" applyBorder="1" applyAlignment="1">
      <alignment horizontal="center" vertical="center"/>
    </xf>
    <xf numFmtId="0" fontId="3" fillId="35" borderId="77" xfId="0" applyFont="1" applyFill="1" applyBorder="1" applyAlignment="1">
      <alignment horizontal="center" vertical="center"/>
    </xf>
    <xf numFmtId="0" fontId="3" fillId="35" borderId="78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49" fontId="0" fillId="0" borderId="40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5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0" fillId="35" borderId="40" xfId="0" applyNumberFormat="1" applyFill="1" applyBorder="1" applyAlignment="1">
      <alignment vertical="center"/>
    </xf>
    <xf numFmtId="0" fontId="0" fillId="35" borderId="40" xfId="0" applyFill="1" applyBorder="1" applyAlignment="1">
      <alignment vertical="center"/>
    </xf>
    <xf numFmtId="0" fontId="0" fillId="35" borderId="45" xfId="0" applyFill="1" applyBorder="1" applyAlignment="1">
      <alignment vertical="center"/>
    </xf>
    <xf numFmtId="0" fontId="12" fillId="0" borderId="44" xfId="0" applyNumberFormat="1" applyFont="1" applyBorder="1" applyAlignment="1">
      <alignment horizontal="left" vertical="top" wrapText="1"/>
    </xf>
    <xf numFmtId="0" fontId="12" fillId="0" borderId="44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vertical="top" wrapText="1"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8" fillId="33" borderId="10" xfId="0" applyNumberFormat="1" applyFont="1" applyFill="1" applyBorder="1" applyAlignment="1" applyProtection="1">
      <alignment horizontal="left" vertical="center"/>
      <protection/>
    </xf>
    <xf numFmtId="0" fontId="8" fillId="33" borderId="10" xfId="0" applyNumberFormat="1" applyFont="1" applyFill="1" applyBorder="1" applyAlignment="1" applyProtection="1">
      <alignment horizontal="left" vertical="center"/>
      <protection/>
    </xf>
    <xf numFmtId="4" fontId="3" fillId="35" borderId="24" xfId="48" applyNumberFormat="1" applyFont="1" applyFill="1" applyBorder="1" applyAlignment="1" applyProtection="1">
      <alignment horizontal="center" vertical="center" wrapText="1"/>
      <protection/>
    </xf>
    <xf numFmtId="4" fontId="3" fillId="35" borderId="35" xfId="48" applyNumberFormat="1" applyFont="1" applyFill="1" applyBorder="1" applyAlignment="1" applyProtection="1">
      <alignment horizontal="center" vertical="center" wrapText="1"/>
      <protection/>
    </xf>
    <xf numFmtId="49" fontId="0" fillId="35" borderId="15" xfId="0" applyNumberFormat="1" applyFill="1" applyBorder="1" applyAlignment="1">
      <alignment horizontal="left" vertical="center"/>
    </xf>
    <xf numFmtId="49" fontId="0" fillId="0" borderId="39" xfId="0" applyNumberFormat="1" applyFont="1" applyBorder="1" applyAlignment="1">
      <alignment horizontal="left" vertical="center"/>
    </xf>
    <xf numFmtId="49" fontId="0" fillId="0" borderId="39" xfId="0" applyNumberForma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49" fontId="3" fillId="35" borderId="76" xfId="0" applyNumberFormat="1" applyFont="1" applyFill="1" applyBorder="1" applyAlignment="1" applyProtection="1">
      <alignment horizontal="center" vertical="center"/>
      <protection/>
    </xf>
    <xf numFmtId="0" fontId="3" fillId="35" borderId="59" xfId="0" applyNumberFormat="1" applyFont="1" applyFill="1" applyBorder="1" applyAlignment="1" applyProtection="1">
      <alignment horizontal="center" vertical="center"/>
      <protection/>
    </xf>
    <xf numFmtId="49" fontId="3" fillId="35" borderId="17" xfId="0" applyNumberFormat="1" applyFont="1" applyFill="1" applyBorder="1" applyAlignment="1" applyProtection="1">
      <alignment horizontal="center" vertical="center" wrapText="1"/>
      <protection/>
    </xf>
    <xf numFmtId="49" fontId="3" fillId="35" borderId="19" xfId="0" applyNumberFormat="1" applyFont="1" applyFill="1" applyBorder="1" applyAlignment="1" applyProtection="1">
      <alignment horizontal="center" vertical="center" wrapText="1"/>
      <protection/>
    </xf>
    <xf numFmtId="49" fontId="0" fillId="35" borderId="57" xfId="0" applyNumberFormat="1" applyFill="1" applyBorder="1" applyAlignment="1" applyProtection="1">
      <alignment horizontal="left" vertical="center"/>
      <protection/>
    </xf>
    <xf numFmtId="49" fontId="0" fillId="35" borderId="77" xfId="0" applyNumberFormat="1" applyFill="1" applyBorder="1" applyAlignment="1" applyProtection="1">
      <alignment horizontal="left" vertical="center"/>
      <protection/>
    </xf>
    <xf numFmtId="49" fontId="0" fillId="35" borderId="79" xfId="0" applyNumberFormat="1" applyFill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center"/>
      <protection/>
    </xf>
    <xf numFmtId="49" fontId="0" fillId="0" borderId="80" xfId="0" applyNumberFormat="1" applyFont="1" applyBorder="1" applyAlignment="1" applyProtection="1">
      <alignment horizontal="left" vertical="center"/>
      <protection/>
    </xf>
    <xf numFmtId="49" fontId="0" fillId="0" borderId="28" xfId="0" applyNumberFormat="1" applyFont="1" applyBorder="1" applyAlignment="1" applyProtection="1">
      <alignment horizontal="left" vertical="center"/>
      <protection/>
    </xf>
    <xf numFmtId="49" fontId="0" fillId="0" borderId="38" xfId="0" applyNumberFormat="1" applyFont="1" applyBorder="1" applyAlignment="1" applyProtection="1">
      <alignment horizontal="left" vertical="center"/>
      <protection/>
    </xf>
    <xf numFmtId="49" fontId="0" fillId="0" borderId="56" xfId="0" applyNumberFormat="1" applyFont="1" applyBorder="1" applyAlignment="1" applyProtection="1">
      <alignment horizontal="left" vertical="center"/>
      <protection/>
    </xf>
    <xf numFmtId="49" fontId="0" fillId="0" borderId="58" xfId="0" applyNumberFormat="1" applyFont="1" applyBorder="1" applyAlignment="1" applyProtection="1">
      <alignment horizontal="left" vertical="center"/>
      <protection/>
    </xf>
    <xf numFmtId="49" fontId="0" fillId="0" borderId="59" xfId="0" applyNumberFormat="1" applyFont="1" applyBorder="1" applyAlignment="1" applyProtection="1">
      <alignment horizontal="left" vertical="center"/>
      <protection/>
    </xf>
    <xf numFmtId="0" fontId="11" fillId="35" borderId="17" xfId="0" applyFont="1" applyFill="1" applyBorder="1" applyAlignment="1" applyProtection="1">
      <alignment horizontal="center" wrapText="1"/>
      <protection/>
    </xf>
    <xf numFmtId="0" fontId="11" fillId="35" borderId="12" xfId="0" applyFont="1" applyFill="1" applyBorder="1" applyAlignment="1" applyProtection="1">
      <alignment horizontal="center" wrapText="1"/>
      <protection/>
    </xf>
    <xf numFmtId="0" fontId="11" fillId="35" borderId="81" xfId="0" applyFont="1" applyFill="1" applyBorder="1" applyAlignment="1" applyProtection="1">
      <alignment horizontal="center" wrapText="1"/>
      <protection/>
    </xf>
    <xf numFmtId="0" fontId="11" fillId="35" borderId="32" xfId="0" applyFont="1" applyFill="1" applyBorder="1" applyAlignment="1" applyProtection="1">
      <alignment horizontal="center"/>
      <protection/>
    </xf>
    <xf numFmtId="0" fontId="11" fillId="35" borderId="45" xfId="0" applyFont="1" applyFill="1" applyBorder="1" applyAlignment="1" applyProtection="1">
      <alignment horizontal="center"/>
      <protection/>
    </xf>
    <xf numFmtId="0" fontId="11" fillId="35" borderId="33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36" borderId="42" xfId="0" applyFont="1" applyFill="1" applyBorder="1" applyAlignment="1" applyProtection="1">
      <alignment horizontal="center" vertical="center" wrapText="1"/>
      <protection/>
    </xf>
    <xf numFmtId="0" fontId="22" fillId="36" borderId="82" xfId="0" applyFont="1" applyFill="1" applyBorder="1" applyAlignment="1" applyProtection="1">
      <alignment horizontal="center" vertical="center" wrapText="1"/>
      <protection/>
    </xf>
    <xf numFmtId="4" fontId="22" fillId="35" borderId="0" xfId="0" applyNumberFormat="1" applyFont="1" applyFill="1" applyBorder="1" applyAlignment="1" applyProtection="1">
      <alignment/>
      <protection/>
    </xf>
    <xf numFmtId="4" fontId="22" fillId="35" borderId="50" xfId="0" applyNumberFormat="1" applyFont="1" applyFill="1" applyBorder="1" applyAlignment="1" applyProtection="1">
      <alignment vertical="center"/>
      <protection/>
    </xf>
    <xf numFmtId="4" fontId="0" fillId="35" borderId="40" xfId="0" applyNumberFormat="1" applyFont="1" applyFill="1" applyBorder="1" applyAlignment="1" applyProtection="1">
      <alignment/>
      <protection/>
    </xf>
    <xf numFmtId="4" fontId="0" fillId="35" borderId="33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" fontId="0" fillId="34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/>
    </xf>
    <xf numFmtId="4" fontId="0" fillId="0" borderId="50" xfId="0" applyNumberFormat="1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0" fillId="35" borderId="35" xfId="0" applyNumberFormat="1" applyFill="1" applyBorder="1" applyAlignment="1" applyProtection="1">
      <alignment horizontal="left" vertical="center"/>
      <protection/>
    </xf>
    <xf numFmtId="49" fontId="0" fillId="35" borderId="26" xfId="0" applyNumberFormat="1" applyFill="1" applyBorder="1" applyAlignment="1" applyProtection="1">
      <alignment horizontal="left" vertical="center"/>
      <protection/>
    </xf>
    <xf numFmtId="49" fontId="0" fillId="35" borderId="55" xfId="0" applyNumberFormat="1" applyFill="1" applyBorder="1" applyAlignment="1" applyProtection="1">
      <alignment horizontal="left" vertical="center"/>
      <protection/>
    </xf>
    <xf numFmtId="49" fontId="0" fillId="0" borderId="25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50" xfId="0" applyNumberFormat="1" applyFont="1" applyBorder="1" applyAlignment="1" applyProtection="1">
      <alignment horizontal="left" vertical="center"/>
      <protection/>
    </xf>
    <xf numFmtId="49" fontId="0" fillId="0" borderId="24" xfId="0" applyNumberFormat="1" applyFont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49" fontId="0" fillId="0" borderId="37" xfId="0" applyNumberFormat="1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vertical="center"/>
      <protection/>
    </xf>
    <xf numFmtId="4" fontId="0" fillId="34" borderId="26" xfId="0" applyNumberFormat="1" applyFont="1" applyFill="1" applyBorder="1" applyAlignment="1" applyProtection="1">
      <alignment vertical="center"/>
      <protection locked="0"/>
    </xf>
    <xf numFmtId="4" fontId="0" fillId="0" borderId="26" xfId="0" applyNumberFormat="1" applyFont="1" applyBorder="1" applyAlignment="1" applyProtection="1">
      <alignment vertical="center"/>
      <protection/>
    </xf>
    <xf numFmtId="4" fontId="0" fillId="0" borderId="55" xfId="0" applyNumberFormat="1" applyFont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44" fontId="11" fillId="35" borderId="56" xfId="48" applyNumberFormat="1" applyFont="1" applyFill="1" applyBorder="1" applyAlignment="1">
      <alignment horizontal="center"/>
    </xf>
    <xf numFmtId="44" fontId="11" fillId="35" borderId="59" xfId="48" applyNumberFormat="1" applyFont="1" applyFill="1" applyBorder="1" applyAlignment="1">
      <alignment horizontal="center"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3"/>
  <sheetViews>
    <sheetView zoomScalePageLayoutView="0" workbookViewId="0" topLeftCell="A1">
      <selection activeCell="B19" sqref="B19:B20"/>
    </sheetView>
  </sheetViews>
  <sheetFormatPr defaultColWidth="15.140625" defaultRowHeight="15" customHeight="1"/>
  <cols>
    <col min="1" max="1" width="6.140625" style="23" customWidth="1"/>
    <col min="2" max="2" width="61.421875" style="23" customWidth="1"/>
    <col min="3" max="4" width="9.140625" style="23" customWidth="1"/>
    <col min="5" max="5" width="10.28125" style="23" customWidth="1"/>
    <col min="6" max="6" width="11.421875" style="23" customWidth="1"/>
    <col min="7" max="7" width="11.7109375" style="23" customWidth="1"/>
    <col min="8" max="8" width="11.00390625" style="23" customWidth="1"/>
    <col min="9" max="22" width="7.57421875" style="23" customWidth="1"/>
    <col min="23" max="16384" width="15.140625" style="23" customWidth="1"/>
  </cols>
  <sheetData>
    <row r="1" spans="1:10" ht="13.5" customHeight="1">
      <c r="A1" s="99"/>
      <c r="B1" s="100"/>
      <c r="C1" s="100"/>
      <c r="D1" s="100"/>
      <c r="E1" s="100"/>
      <c r="F1" s="100"/>
      <c r="G1" s="100"/>
      <c r="H1" s="72"/>
      <c r="I1" s="83"/>
      <c r="J1" s="83"/>
    </row>
    <row r="2" spans="1:10" ht="15.75" customHeight="1">
      <c r="A2" s="423" t="s">
        <v>758</v>
      </c>
      <c r="B2" s="424"/>
      <c r="C2" s="424"/>
      <c r="D2" s="424"/>
      <c r="E2" s="424"/>
      <c r="F2" s="424"/>
      <c r="G2" s="101"/>
      <c r="H2" s="71"/>
      <c r="I2" s="83"/>
      <c r="J2" s="83"/>
    </row>
    <row r="3" spans="1:10" ht="39.75" customHeight="1">
      <c r="A3" s="428" t="s">
        <v>828</v>
      </c>
      <c r="B3" s="428"/>
      <c r="C3" s="428"/>
      <c r="D3" s="428"/>
      <c r="E3" s="428"/>
      <c r="F3" s="428"/>
      <c r="G3" s="102"/>
      <c r="H3" s="71"/>
      <c r="I3" s="83"/>
      <c r="J3" s="83"/>
    </row>
    <row r="4" spans="1:10" ht="25.5" customHeight="1">
      <c r="A4" s="425" t="s">
        <v>974</v>
      </c>
      <c r="B4" s="426"/>
      <c r="C4" s="426"/>
      <c r="D4" s="426"/>
      <c r="E4" s="426"/>
      <c r="F4" s="426"/>
      <c r="G4" s="103"/>
      <c r="H4" s="80"/>
      <c r="I4" s="83"/>
      <c r="J4" s="83"/>
    </row>
    <row r="5" spans="1:10" ht="25.5" customHeight="1">
      <c r="A5" s="427" t="s">
        <v>829</v>
      </c>
      <c r="B5" s="426"/>
      <c r="C5" s="426"/>
      <c r="D5" s="426"/>
      <c r="E5" s="426"/>
      <c r="F5" s="426"/>
      <c r="G5" s="104"/>
      <c r="H5" s="81"/>
      <c r="I5" s="83"/>
      <c r="J5" s="83"/>
    </row>
    <row r="6" spans="1:10" ht="25.5" customHeight="1">
      <c r="A6" s="427" t="s">
        <v>830</v>
      </c>
      <c r="B6" s="426"/>
      <c r="C6" s="426"/>
      <c r="D6" s="426"/>
      <c r="E6" s="426"/>
      <c r="F6" s="426"/>
      <c r="G6" s="105"/>
      <c r="H6" s="82"/>
      <c r="I6" s="83"/>
      <c r="J6" s="83"/>
    </row>
    <row r="7" spans="1:10" ht="25.5" customHeight="1">
      <c r="A7" s="427" t="s">
        <v>831</v>
      </c>
      <c r="B7" s="426"/>
      <c r="C7" s="426"/>
      <c r="D7" s="426"/>
      <c r="E7" s="426"/>
      <c r="F7" s="426"/>
      <c r="G7" s="103"/>
      <c r="H7" s="80"/>
      <c r="I7" s="83"/>
      <c r="J7" s="83"/>
    </row>
    <row r="8" spans="1:10" ht="51" customHeight="1">
      <c r="A8" s="429" t="s">
        <v>975</v>
      </c>
      <c r="B8" s="430"/>
      <c r="C8" s="430"/>
      <c r="D8" s="430"/>
      <c r="E8" s="430"/>
      <c r="F8" s="430"/>
      <c r="G8" s="80"/>
      <c r="H8" s="80"/>
      <c r="I8" s="83"/>
      <c r="J8" s="83"/>
    </row>
    <row r="9" spans="1:10" ht="12.75">
      <c r="A9" s="421" t="s">
        <v>832</v>
      </c>
      <c r="B9" s="422"/>
      <c r="C9" s="422"/>
      <c r="D9" s="422"/>
      <c r="E9" s="422"/>
      <c r="F9" s="422"/>
      <c r="G9" s="81"/>
      <c r="H9" s="81"/>
      <c r="I9" s="83"/>
      <c r="J9" s="83"/>
    </row>
    <row r="10" spans="1:10" ht="12.75">
      <c r="A10" s="27"/>
      <c r="B10" s="24"/>
      <c r="C10" s="24"/>
      <c r="D10" s="24"/>
      <c r="E10" s="24"/>
      <c r="F10" s="24"/>
      <c r="H10" s="83"/>
      <c r="I10" s="83"/>
      <c r="J10" s="83"/>
    </row>
    <row r="11" spans="1:10" ht="12.75">
      <c r="A11" s="27"/>
      <c r="B11" s="24"/>
      <c r="C11" s="24"/>
      <c r="D11" s="24"/>
      <c r="E11" s="24"/>
      <c r="F11" s="24"/>
      <c r="H11" s="83"/>
      <c r="I11" s="83"/>
      <c r="J11" s="83"/>
    </row>
    <row r="12" spans="1:10" ht="12.75">
      <c r="A12" s="27"/>
      <c r="B12" s="24"/>
      <c r="C12" s="24"/>
      <c r="D12" s="24"/>
      <c r="E12" s="24"/>
      <c r="F12" s="24"/>
      <c r="H12" s="83"/>
      <c r="I12" s="83"/>
      <c r="J12" s="83"/>
    </row>
    <row r="13" spans="1:10" ht="12.75">
      <c r="A13" s="27"/>
      <c r="B13" s="24"/>
      <c r="C13" s="24"/>
      <c r="D13" s="24"/>
      <c r="E13" s="24"/>
      <c r="F13" s="24"/>
      <c r="H13" s="83"/>
      <c r="I13" s="83"/>
      <c r="J13" s="83"/>
    </row>
    <row r="14" spans="1:10" ht="12.75">
      <c r="A14" s="27"/>
      <c r="B14" s="24"/>
      <c r="C14" s="24"/>
      <c r="D14" s="24"/>
      <c r="E14" s="24"/>
      <c r="F14" s="24"/>
      <c r="H14" s="83"/>
      <c r="I14" s="83"/>
      <c r="J14" s="83"/>
    </row>
    <row r="15" spans="1:6" ht="12.75">
      <c r="A15" s="27"/>
      <c r="B15" s="24"/>
      <c r="C15" s="24"/>
      <c r="D15" s="24"/>
      <c r="E15" s="24"/>
      <c r="F15" s="24"/>
    </row>
    <row r="16" spans="1:6" ht="12.75">
      <c r="A16" s="27"/>
      <c r="B16" s="24"/>
      <c r="C16" s="24"/>
      <c r="D16" s="24"/>
      <c r="E16" s="24"/>
      <c r="F16" s="24"/>
    </row>
    <row r="17" spans="1:6" ht="12.75">
      <c r="A17" s="27"/>
      <c r="B17" s="24"/>
      <c r="C17" s="24"/>
      <c r="D17" s="24"/>
      <c r="E17" s="24"/>
      <c r="F17" s="24"/>
    </row>
    <row r="18" spans="1:6" ht="12.75">
      <c r="A18" s="27"/>
      <c r="B18" s="24"/>
      <c r="C18" s="24"/>
      <c r="D18" s="24"/>
      <c r="E18" s="24"/>
      <c r="F18" s="24"/>
    </row>
    <row r="19" spans="1:6" ht="12.75">
      <c r="A19" s="27"/>
      <c r="B19" s="24"/>
      <c r="C19" s="24"/>
      <c r="D19" s="24"/>
      <c r="E19" s="24"/>
      <c r="F19" s="24"/>
    </row>
    <row r="20" spans="1:6" ht="12.75">
      <c r="A20" s="27"/>
      <c r="B20" s="24"/>
      <c r="C20" s="24"/>
      <c r="D20" s="24"/>
      <c r="E20" s="24"/>
      <c r="F20" s="24"/>
    </row>
    <row r="21" spans="1:6" ht="12.75">
      <c r="A21" s="27"/>
      <c r="B21" s="24"/>
      <c r="C21" s="24"/>
      <c r="D21" s="24"/>
      <c r="E21" s="24"/>
      <c r="F21" s="24"/>
    </row>
    <row r="22" spans="1:6" ht="12.75">
      <c r="A22" s="27"/>
      <c r="B22" s="24"/>
      <c r="C22" s="24"/>
      <c r="D22" s="24"/>
      <c r="E22" s="24"/>
      <c r="F22" s="24"/>
    </row>
    <row r="23" spans="1:6" ht="12.75">
      <c r="A23" s="27"/>
      <c r="B23" s="24"/>
      <c r="C23" s="24"/>
      <c r="D23" s="24"/>
      <c r="E23" s="24"/>
      <c r="F23" s="24"/>
    </row>
    <row r="24" spans="1:6" ht="12.75">
      <c r="A24" s="27"/>
      <c r="B24" s="24"/>
      <c r="C24" s="24"/>
      <c r="D24" s="24"/>
      <c r="E24" s="24"/>
      <c r="F24" s="24"/>
    </row>
    <row r="25" spans="1:6" ht="12.75">
      <c r="A25" s="27"/>
      <c r="B25" s="24"/>
      <c r="C25" s="24"/>
      <c r="D25" s="24"/>
      <c r="E25" s="24"/>
      <c r="F25" s="24"/>
    </row>
    <row r="26" spans="1:6" ht="12.75">
      <c r="A26" s="24"/>
      <c r="B26" s="24"/>
      <c r="C26" s="24"/>
      <c r="D26" s="24"/>
      <c r="E26" s="26"/>
      <c r="F26" s="26"/>
    </row>
    <row r="27" spans="1:6" ht="12.75">
      <c r="A27" s="24"/>
      <c r="B27" s="24"/>
      <c r="C27" s="24"/>
      <c r="D27" s="24"/>
      <c r="E27" s="26"/>
      <c r="F27" s="26"/>
    </row>
    <row r="28" spans="1:6" ht="12.75">
      <c r="A28" s="24"/>
      <c r="B28" s="24"/>
      <c r="C28" s="24"/>
      <c r="D28" s="25"/>
      <c r="E28" s="26"/>
      <c r="F28" s="26"/>
    </row>
    <row r="29" spans="1:6" ht="12.75">
      <c r="A29" s="24"/>
      <c r="B29" s="24"/>
      <c r="C29" s="24"/>
      <c r="D29" s="25"/>
      <c r="E29" s="26"/>
      <c r="F29" s="26"/>
    </row>
    <row r="30" spans="1:6" ht="12.75">
      <c r="A30" s="24"/>
      <c r="B30" s="24"/>
      <c r="C30" s="24"/>
      <c r="D30" s="25"/>
      <c r="E30" s="26"/>
      <c r="F30" s="26"/>
    </row>
    <row r="31" spans="1:6" ht="12.75">
      <c r="A31" s="24"/>
      <c r="B31" s="24"/>
      <c r="C31" s="24"/>
      <c r="D31" s="25"/>
      <c r="E31" s="26"/>
      <c r="F31" s="26"/>
    </row>
    <row r="32" spans="1:6" ht="12.75">
      <c r="A32" s="24"/>
      <c r="B32" s="24"/>
      <c r="C32" s="24"/>
      <c r="D32" s="25"/>
      <c r="E32" s="26"/>
      <c r="F32" s="26"/>
    </row>
    <row r="33" spans="1:6" ht="12.75">
      <c r="A33" s="24"/>
      <c r="B33" s="24"/>
      <c r="C33" s="24"/>
      <c r="D33" s="25"/>
      <c r="E33" s="26"/>
      <c r="F33" s="26"/>
    </row>
    <row r="34" spans="1:6" ht="12.75">
      <c r="A34" s="24"/>
      <c r="B34" s="24"/>
      <c r="C34" s="24"/>
      <c r="D34" s="25"/>
      <c r="E34" s="26"/>
      <c r="F34" s="26"/>
    </row>
    <row r="35" spans="1:6" ht="12.75">
      <c r="A35" s="24"/>
      <c r="B35" s="24"/>
      <c r="C35" s="24"/>
      <c r="D35" s="25"/>
      <c r="E35" s="26"/>
      <c r="F35" s="26"/>
    </row>
    <row r="36" spans="1:6" ht="12.75">
      <c r="A36" s="24"/>
      <c r="B36" s="24"/>
      <c r="C36" s="24"/>
      <c r="D36" s="25"/>
      <c r="E36" s="26"/>
      <c r="F36" s="26"/>
    </row>
    <row r="37" spans="1:6" ht="12.75">
      <c r="A37" s="24"/>
      <c r="B37" s="24"/>
      <c r="C37" s="24"/>
      <c r="D37" s="25"/>
      <c r="E37" s="26"/>
      <c r="F37" s="26"/>
    </row>
    <row r="38" spans="1:6" ht="12.75">
      <c r="A38" s="24"/>
      <c r="B38" s="24"/>
      <c r="C38" s="24"/>
      <c r="D38" s="25"/>
      <c r="E38" s="26"/>
      <c r="F38" s="26"/>
    </row>
    <row r="39" spans="1:6" ht="12.75">
      <c r="A39" s="24"/>
      <c r="B39" s="24"/>
      <c r="C39" s="24"/>
      <c r="D39" s="25"/>
      <c r="E39" s="26"/>
      <c r="F39" s="26"/>
    </row>
    <row r="40" spans="1:6" ht="12.75">
      <c r="A40" s="24"/>
      <c r="B40" s="24"/>
      <c r="C40" s="24"/>
      <c r="D40" s="25"/>
      <c r="E40" s="26"/>
      <c r="F40" s="26"/>
    </row>
    <row r="41" spans="1:6" ht="12.75">
      <c r="A41" s="24"/>
      <c r="B41" s="24"/>
      <c r="C41" s="24"/>
      <c r="D41" s="25"/>
      <c r="E41" s="26"/>
      <c r="F41" s="26"/>
    </row>
    <row r="42" spans="1:6" ht="12.75">
      <c r="A42" s="24"/>
      <c r="B42" s="24"/>
      <c r="C42" s="24"/>
      <c r="D42" s="25"/>
      <c r="E42" s="26"/>
      <c r="F42" s="26"/>
    </row>
    <row r="43" spans="1:6" ht="12.75">
      <c r="A43" s="24"/>
      <c r="B43" s="24"/>
      <c r="C43" s="24"/>
      <c r="D43" s="25"/>
      <c r="E43" s="26"/>
      <c r="F43" s="26"/>
    </row>
    <row r="44" spans="1:6" ht="12.75">
      <c r="A44" s="24"/>
      <c r="B44" s="24"/>
      <c r="C44" s="24"/>
      <c r="D44" s="25"/>
      <c r="E44" s="26"/>
      <c r="F44" s="26"/>
    </row>
    <row r="45" spans="1:6" ht="12.75">
      <c r="A45" s="24"/>
      <c r="B45" s="24"/>
      <c r="C45" s="24"/>
      <c r="D45" s="25"/>
      <c r="E45" s="26"/>
      <c r="F45" s="26"/>
    </row>
    <row r="46" spans="1:6" ht="12.75">
      <c r="A46" s="24"/>
      <c r="B46" s="24"/>
      <c r="C46" s="24"/>
      <c r="D46" s="25"/>
      <c r="E46" s="26"/>
      <c r="F46" s="26"/>
    </row>
    <row r="47" spans="1:6" ht="12.75">
      <c r="A47" s="24"/>
      <c r="B47" s="24"/>
      <c r="C47" s="24"/>
      <c r="D47" s="25"/>
      <c r="E47" s="26"/>
      <c r="F47" s="26"/>
    </row>
    <row r="48" spans="1:6" ht="12.75">
      <c r="A48" s="24"/>
      <c r="B48" s="24"/>
      <c r="C48" s="24"/>
      <c r="D48" s="25"/>
      <c r="E48" s="26"/>
      <c r="F48" s="26"/>
    </row>
    <row r="49" spans="1:6" ht="12.75">
      <c r="A49" s="24"/>
      <c r="B49" s="24"/>
      <c r="C49" s="24"/>
      <c r="D49" s="25"/>
      <c r="E49" s="26"/>
      <c r="F49" s="26"/>
    </row>
    <row r="50" spans="1:6" ht="12.75">
      <c r="A50" s="24"/>
      <c r="B50" s="24"/>
      <c r="C50" s="24"/>
      <c r="D50" s="25"/>
      <c r="E50" s="26"/>
      <c r="F50" s="26"/>
    </row>
    <row r="51" spans="1:6" ht="12.75">
      <c r="A51" s="24"/>
      <c r="B51" s="24"/>
      <c r="C51" s="24"/>
      <c r="D51" s="25"/>
      <c r="E51" s="26"/>
      <c r="F51" s="26"/>
    </row>
    <row r="52" spans="1:6" ht="12.75">
      <c r="A52" s="24"/>
      <c r="B52" s="24"/>
      <c r="C52" s="24"/>
      <c r="D52" s="25"/>
      <c r="E52" s="26"/>
      <c r="F52" s="26"/>
    </row>
    <row r="53" spans="1:6" ht="12.75">
      <c r="A53" s="24"/>
      <c r="B53" s="24"/>
      <c r="C53" s="24"/>
      <c r="D53" s="25"/>
      <c r="E53" s="26"/>
      <c r="F53" s="26"/>
    </row>
    <row r="54" spans="1:6" ht="12.75">
      <c r="A54" s="24"/>
      <c r="B54" s="24"/>
      <c r="C54" s="24"/>
      <c r="D54" s="25"/>
      <c r="E54" s="26"/>
      <c r="F54" s="26"/>
    </row>
    <row r="55" spans="1:6" ht="12.75">
      <c r="A55" s="24"/>
      <c r="B55" s="24"/>
      <c r="C55" s="24"/>
      <c r="D55" s="25"/>
      <c r="E55" s="26"/>
      <c r="F55" s="26"/>
    </row>
    <row r="56" spans="1:6" ht="12.75">
      <c r="A56" s="24"/>
      <c r="B56" s="24"/>
      <c r="C56" s="24"/>
      <c r="D56" s="25"/>
      <c r="E56" s="26"/>
      <c r="F56" s="26"/>
    </row>
    <row r="57" spans="1:6" ht="12.75">
      <c r="A57" s="24"/>
      <c r="B57" s="24"/>
      <c r="C57" s="24"/>
      <c r="D57" s="25"/>
      <c r="E57" s="26"/>
      <c r="F57" s="26"/>
    </row>
    <row r="58" spans="1:6" ht="12.75">
      <c r="A58" s="24"/>
      <c r="B58" s="24"/>
      <c r="C58" s="24"/>
      <c r="D58" s="25"/>
      <c r="E58" s="26"/>
      <c r="F58" s="26"/>
    </row>
    <row r="59" spans="1:6" ht="12.75">
      <c r="A59" s="24"/>
      <c r="B59" s="24"/>
      <c r="C59" s="24"/>
      <c r="D59" s="25"/>
      <c r="E59" s="26"/>
      <c r="F59" s="26"/>
    </row>
    <row r="60" spans="1:6" ht="12.75">
      <c r="A60" s="24"/>
      <c r="B60" s="24"/>
      <c r="C60" s="24"/>
      <c r="D60" s="25"/>
      <c r="E60" s="26"/>
      <c r="F60" s="26"/>
    </row>
    <row r="61" spans="1:6" ht="12.75">
      <c r="A61" s="24"/>
      <c r="B61" s="24"/>
      <c r="C61" s="24"/>
      <c r="D61" s="25"/>
      <c r="E61" s="26"/>
      <c r="F61" s="26"/>
    </row>
    <row r="62" spans="1:6" ht="12.75">
      <c r="A62" s="24"/>
      <c r="B62" s="24"/>
      <c r="C62" s="24"/>
      <c r="D62" s="25"/>
      <c r="E62" s="26"/>
      <c r="F62" s="26"/>
    </row>
    <row r="63" spans="1:6" ht="12.75">
      <c r="A63" s="24"/>
      <c r="B63" s="24"/>
      <c r="C63" s="24"/>
      <c r="D63" s="25"/>
      <c r="E63" s="26"/>
      <c r="F63" s="26"/>
    </row>
    <row r="64" spans="1:6" ht="12.75">
      <c r="A64" s="24"/>
      <c r="B64" s="24"/>
      <c r="C64" s="24"/>
      <c r="D64" s="25"/>
      <c r="E64" s="26"/>
      <c r="F64" s="26"/>
    </row>
    <row r="65" spans="1:6" ht="12.75">
      <c r="A65" s="24"/>
      <c r="B65" s="24"/>
      <c r="C65" s="24"/>
      <c r="D65" s="25"/>
      <c r="E65" s="26"/>
      <c r="F65" s="26"/>
    </row>
    <row r="66" spans="1:6" ht="12.75">
      <c r="A66" s="24"/>
      <c r="B66" s="24"/>
      <c r="C66" s="24"/>
      <c r="D66" s="25"/>
      <c r="E66" s="26"/>
      <c r="F66" s="26"/>
    </row>
    <row r="67" spans="1:6" ht="12.75">
      <c r="A67" s="24"/>
      <c r="B67" s="24"/>
      <c r="C67" s="24"/>
      <c r="D67" s="25"/>
      <c r="E67" s="26"/>
      <c r="F67" s="26"/>
    </row>
    <row r="68" spans="1:6" ht="12.75">
      <c r="A68" s="24"/>
      <c r="B68" s="24"/>
      <c r="C68" s="24"/>
      <c r="D68" s="25"/>
      <c r="E68" s="26"/>
      <c r="F68" s="26"/>
    </row>
    <row r="69" spans="1:6" ht="12.75">
      <c r="A69" s="24"/>
      <c r="B69" s="24"/>
      <c r="C69" s="24"/>
      <c r="D69" s="25"/>
      <c r="E69" s="26"/>
      <c r="F69" s="26"/>
    </row>
    <row r="70" spans="1:6" ht="12.75">
      <c r="A70" s="24"/>
      <c r="B70" s="24"/>
      <c r="C70" s="24"/>
      <c r="D70" s="25"/>
      <c r="E70" s="26"/>
      <c r="F70" s="26"/>
    </row>
    <row r="71" spans="1:6" ht="12.75">
      <c r="A71" s="24"/>
      <c r="B71" s="24"/>
      <c r="C71" s="24"/>
      <c r="D71" s="25"/>
      <c r="E71" s="26"/>
      <c r="F71" s="26"/>
    </row>
    <row r="72" spans="1:6" ht="12.75">
      <c r="A72" s="24"/>
      <c r="B72" s="24"/>
      <c r="C72" s="24"/>
      <c r="D72" s="25"/>
      <c r="E72" s="26"/>
      <c r="F72" s="26"/>
    </row>
    <row r="73" spans="1:6" ht="12.75">
      <c r="A73" s="24"/>
      <c r="B73" s="24"/>
      <c r="C73" s="24"/>
      <c r="D73" s="25"/>
      <c r="E73" s="26"/>
      <c r="F73" s="26"/>
    </row>
    <row r="74" spans="1:6" ht="12.75">
      <c r="A74" s="24"/>
      <c r="B74" s="24"/>
      <c r="C74" s="24"/>
      <c r="D74" s="25"/>
      <c r="E74" s="26"/>
      <c r="F74" s="26"/>
    </row>
    <row r="75" spans="1:6" ht="12.75">
      <c r="A75" s="24"/>
      <c r="B75" s="24"/>
      <c r="C75" s="24"/>
      <c r="D75" s="25"/>
      <c r="E75" s="26"/>
      <c r="F75" s="26"/>
    </row>
    <row r="76" spans="1:6" ht="12.75">
      <c r="A76" s="24"/>
      <c r="B76" s="24"/>
      <c r="C76" s="24"/>
      <c r="D76" s="25"/>
      <c r="E76" s="26"/>
      <c r="F76" s="26"/>
    </row>
    <row r="77" spans="1:6" ht="12.75">
      <c r="A77" s="24"/>
      <c r="B77" s="24"/>
      <c r="C77" s="24"/>
      <c r="D77" s="25"/>
      <c r="E77" s="26"/>
      <c r="F77" s="26"/>
    </row>
    <row r="78" spans="1:6" ht="12.75">
      <c r="A78" s="24"/>
      <c r="B78" s="24"/>
      <c r="C78" s="24"/>
      <c r="D78" s="25"/>
      <c r="E78" s="26"/>
      <c r="F78" s="26"/>
    </row>
    <row r="79" spans="1:6" ht="12.75">
      <c r="A79" s="24"/>
      <c r="B79" s="24"/>
      <c r="C79" s="24"/>
      <c r="D79" s="25"/>
      <c r="E79" s="26"/>
      <c r="F79" s="26"/>
    </row>
    <row r="80" spans="1:6" ht="12.75">
      <c r="A80" s="24"/>
      <c r="B80" s="24"/>
      <c r="C80" s="24"/>
      <c r="D80" s="25"/>
      <c r="E80" s="26"/>
      <c r="F80" s="26"/>
    </row>
    <row r="81" spans="1:6" ht="12.75">
      <c r="A81" s="24"/>
      <c r="B81" s="24"/>
      <c r="C81" s="24"/>
      <c r="D81" s="25"/>
      <c r="E81" s="26"/>
      <c r="F81" s="26"/>
    </row>
    <row r="82" spans="1:6" ht="12.75">
      <c r="A82" s="24"/>
      <c r="B82" s="24"/>
      <c r="C82" s="24"/>
      <c r="D82" s="25"/>
      <c r="E82" s="26"/>
      <c r="F82" s="26"/>
    </row>
    <row r="83" spans="1:6" ht="12.75">
      <c r="A83" s="24"/>
      <c r="B83" s="24"/>
      <c r="C83" s="24"/>
      <c r="D83" s="25"/>
      <c r="E83" s="26"/>
      <c r="F83" s="26"/>
    </row>
    <row r="84" spans="1:6" ht="12.75">
      <c r="A84" s="24"/>
      <c r="B84" s="24"/>
      <c r="C84" s="24"/>
      <c r="D84" s="25"/>
      <c r="E84" s="26"/>
      <c r="F84" s="26"/>
    </row>
    <row r="85" spans="1:6" ht="12.75">
      <c r="A85" s="24"/>
      <c r="B85" s="24"/>
      <c r="C85" s="24"/>
      <c r="D85" s="25"/>
      <c r="E85" s="26"/>
      <c r="F85" s="26"/>
    </row>
    <row r="86" spans="1:6" ht="12.75">
      <c r="A86" s="24"/>
      <c r="B86" s="24"/>
      <c r="C86" s="24"/>
      <c r="D86" s="25"/>
      <c r="E86" s="26"/>
      <c r="F86" s="26"/>
    </row>
    <row r="87" spans="1:6" ht="12.75">
      <c r="A87" s="24"/>
      <c r="B87" s="24"/>
      <c r="C87" s="24"/>
      <c r="D87" s="25"/>
      <c r="E87" s="26"/>
      <c r="F87" s="26"/>
    </row>
    <row r="88" spans="1:6" ht="12.75">
      <c r="A88" s="24"/>
      <c r="B88" s="24"/>
      <c r="C88" s="24"/>
      <c r="D88" s="25"/>
      <c r="E88" s="26"/>
      <c r="F88" s="26"/>
    </row>
    <row r="89" spans="1:6" ht="12.75">
      <c r="A89" s="24"/>
      <c r="B89" s="24"/>
      <c r="C89" s="24"/>
      <c r="D89" s="25"/>
      <c r="E89" s="26"/>
      <c r="F89" s="26"/>
    </row>
    <row r="90" spans="1:6" ht="12.75">
      <c r="A90" s="24"/>
      <c r="B90" s="24"/>
      <c r="C90" s="24"/>
      <c r="D90" s="25"/>
      <c r="E90" s="26"/>
      <c r="F90" s="26"/>
    </row>
    <row r="91" spans="1:6" ht="12.75">
      <c r="A91" s="24"/>
      <c r="B91" s="24"/>
      <c r="C91" s="24"/>
      <c r="D91" s="25"/>
      <c r="E91" s="26"/>
      <c r="F91" s="26"/>
    </row>
    <row r="92" spans="1:6" ht="12.75">
      <c r="A92" s="24"/>
      <c r="B92" s="24"/>
      <c r="C92" s="24"/>
      <c r="D92" s="25"/>
      <c r="E92" s="26"/>
      <c r="F92" s="26"/>
    </row>
    <row r="93" spans="1:6" ht="12.75">
      <c r="A93" s="24"/>
      <c r="B93" s="24"/>
      <c r="C93" s="24"/>
      <c r="D93" s="25"/>
      <c r="E93" s="26"/>
      <c r="F93" s="26"/>
    </row>
    <row r="94" spans="1:6" ht="12.75">
      <c r="A94" s="24"/>
      <c r="B94" s="24"/>
      <c r="C94" s="24"/>
      <c r="D94" s="25"/>
      <c r="E94" s="26"/>
      <c r="F94" s="26"/>
    </row>
    <row r="95" spans="1:6" ht="12.75">
      <c r="A95" s="24"/>
      <c r="B95" s="24"/>
      <c r="C95" s="24"/>
      <c r="D95" s="25"/>
      <c r="E95" s="26"/>
      <c r="F95" s="26"/>
    </row>
    <row r="96" spans="1:6" ht="12.75">
      <c r="A96" s="24"/>
      <c r="B96" s="24"/>
      <c r="C96" s="24"/>
      <c r="D96" s="25"/>
      <c r="E96" s="26"/>
      <c r="F96" s="26"/>
    </row>
    <row r="97" spans="1:6" ht="12.75">
      <c r="A97" s="24"/>
      <c r="B97" s="24"/>
      <c r="C97" s="24"/>
      <c r="D97" s="25"/>
      <c r="E97" s="26"/>
      <c r="F97" s="26"/>
    </row>
    <row r="98" spans="1:6" ht="12.75">
      <c r="A98" s="24"/>
      <c r="B98" s="24"/>
      <c r="C98" s="24"/>
      <c r="D98" s="25"/>
      <c r="E98" s="26"/>
      <c r="F98" s="26"/>
    </row>
    <row r="99" spans="1:6" ht="12.75">
      <c r="A99" s="24"/>
      <c r="B99" s="24"/>
      <c r="C99" s="24"/>
      <c r="D99" s="25"/>
      <c r="E99" s="26"/>
      <c r="F99" s="26"/>
    </row>
    <row r="100" spans="1:6" ht="12.75">
      <c r="A100" s="24"/>
      <c r="B100" s="24"/>
      <c r="C100" s="24"/>
      <c r="D100" s="25"/>
      <c r="E100" s="26"/>
      <c r="F100" s="26"/>
    </row>
    <row r="101" spans="1:6" ht="12.75">
      <c r="A101" s="24"/>
      <c r="B101" s="24"/>
      <c r="C101" s="24"/>
      <c r="D101" s="25"/>
      <c r="E101" s="26"/>
      <c r="F101" s="26"/>
    </row>
    <row r="102" spans="1:6" ht="12.75">
      <c r="A102" s="24"/>
      <c r="B102" s="24"/>
      <c r="C102" s="24"/>
      <c r="D102" s="25"/>
      <c r="E102" s="26"/>
      <c r="F102" s="26"/>
    </row>
    <row r="103" spans="1:6" ht="12.75">
      <c r="A103" s="24"/>
      <c r="B103" s="24"/>
      <c r="C103" s="24"/>
      <c r="D103" s="25"/>
      <c r="E103" s="26"/>
      <c r="F103" s="26"/>
    </row>
    <row r="104" spans="1:6" ht="12.75">
      <c r="A104" s="24"/>
      <c r="B104" s="24"/>
      <c r="C104" s="24"/>
      <c r="D104" s="25"/>
      <c r="E104" s="26"/>
      <c r="F104" s="26"/>
    </row>
    <row r="105" spans="1:6" ht="12.75">
      <c r="A105" s="24"/>
      <c r="B105" s="24"/>
      <c r="C105" s="24"/>
      <c r="D105" s="25"/>
      <c r="E105" s="26"/>
      <c r="F105" s="26"/>
    </row>
    <row r="106" spans="1:6" ht="12.75">
      <c r="A106" s="24"/>
      <c r="B106" s="24"/>
      <c r="C106" s="24"/>
      <c r="D106" s="25"/>
      <c r="E106" s="26"/>
      <c r="F106" s="26"/>
    </row>
    <row r="107" spans="1:6" ht="12.75">
      <c r="A107" s="24"/>
      <c r="B107" s="24"/>
      <c r="C107" s="24"/>
      <c r="D107" s="25"/>
      <c r="E107" s="26"/>
      <c r="F107" s="26"/>
    </row>
    <row r="108" spans="1:6" ht="12.75">
      <c r="A108" s="24"/>
      <c r="B108" s="24"/>
      <c r="C108" s="24"/>
      <c r="D108" s="25"/>
      <c r="E108" s="26"/>
      <c r="F108" s="26"/>
    </row>
    <row r="109" spans="1:6" ht="12.75">
      <c r="A109" s="24"/>
      <c r="B109" s="24"/>
      <c r="C109" s="24"/>
      <c r="D109" s="25"/>
      <c r="E109" s="26"/>
      <c r="F109" s="26"/>
    </row>
    <row r="110" spans="1:6" ht="12.75">
      <c r="A110" s="24"/>
      <c r="B110" s="24"/>
      <c r="C110" s="24"/>
      <c r="D110" s="25"/>
      <c r="E110" s="26"/>
      <c r="F110" s="26"/>
    </row>
    <row r="111" spans="1:6" ht="12.75">
      <c r="A111" s="24"/>
      <c r="B111" s="24"/>
      <c r="C111" s="24"/>
      <c r="D111" s="25"/>
      <c r="E111" s="26"/>
      <c r="F111" s="26"/>
    </row>
    <row r="112" spans="1:6" ht="12.75">
      <c r="A112" s="24"/>
      <c r="B112" s="24"/>
      <c r="C112" s="24"/>
      <c r="D112" s="25"/>
      <c r="E112" s="26"/>
      <c r="F112" s="26"/>
    </row>
    <row r="113" spans="1:6" ht="12.75">
      <c r="A113" s="24"/>
      <c r="B113" s="24"/>
      <c r="C113" s="24"/>
      <c r="D113" s="25"/>
      <c r="E113" s="26"/>
      <c r="F113" s="26"/>
    </row>
    <row r="114" spans="1:6" ht="12.75">
      <c r="A114" s="24"/>
      <c r="B114" s="24"/>
      <c r="C114" s="24"/>
      <c r="D114" s="25"/>
      <c r="E114" s="26"/>
      <c r="F114" s="26"/>
    </row>
    <row r="115" spans="1:6" ht="12.75">
      <c r="A115" s="24"/>
      <c r="B115" s="24"/>
      <c r="C115" s="24"/>
      <c r="D115" s="25"/>
      <c r="E115" s="26"/>
      <c r="F115" s="26"/>
    </row>
    <row r="116" spans="1:6" ht="12.75">
      <c r="A116" s="24"/>
      <c r="B116" s="24"/>
      <c r="C116" s="24"/>
      <c r="D116" s="25"/>
      <c r="E116" s="26"/>
      <c r="F116" s="26"/>
    </row>
    <row r="117" spans="1:6" ht="12.75">
      <c r="A117" s="24"/>
      <c r="B117" s="24"/>
      <c r="C117" s="24"/>
      <c r="D117" s="25"/>
      <c r="E117" s="26"/>
      <c r="F117" s="26"/>
    </row>
    <row r="118" spans="1:6" ht="12.75">
      <c r="A118" s="24"/>
      <c r="B118" s="24"/>
      <c r="C118" s="24"/>
      <c r="D118" s="25"/>
      <c r="E118" s="26"/>
      <c r="F118" s="26"/>
    </row>
    <row r="119" spans="1:6" ht="12.75">
      <c r="A119" s="24"/>
      <c r="B119" s="24"/>
      <c r="C119" s="24"/>
      <c r="D119" s="25"/>
      <c r="E119" s="26"/>
      <c r="F119" s="26"/>
    </row>
    <row r="120" spans="1:6" ht="12.75">
      <c r="A120" s="24"/>
      <c r="B120" s="24"/>
      <c r="C120" s="24"/>
      <c r="D120" s="25"/>
      <c r="E120" s="26"/>
      <c r="F120" s="26"/>
    </row>
    <row r="121" spans="1:6" ht="12.75">
      <c r="A121" s="24"/>
      <c r="B121" s="24"/>
      <c r="C121" s="24"/>
      <c r="D121" s="25"/>
      <c r="E121" s="26"/>
      <c r="F121" s="26"/>
    </row>
    <row r="122" spans="1:6" ht="12.75">
      <c r="A122" s="24"/>
      <c r="B122" s="24"/>
      <c r="C122" s="24"/>
      <c r="D122" s="25"/>
      <c r="E122" s="26"/>
      <c r="F122" s="26"/>
    </row>
    <row r="123" spans="1:6" ht="12.75">
      <c r="A123" s="24"/>
      <c r="B123" s="24"/>
      <c r="C123" s="24"/>
      <c r="D123" s="25"/>
      <c r="E123" s="26"/>
      <c r="F123" s="26"/>
    </row>
    <row r="124" spans="1:6" ht="12.75">
      <c r="A124" s="24"/>
      <c r="B124" s="24"/>
      <c r="C124" s="24"/>
      <c r="D124" s="25"/>
      <c r="E124" s="26"/>
      <c r="F124" s="26"/>
    </row>
    <row r="125" spans="1:6" ht="12.75">
      <c r="A125" s="24"/>
      <c r="B125" s="24"/>
      <c r="C125" s="24"/>
      <c r="D125" s="25"/>
      <c r="E125" s="26"/>
      <c r="F125" s="26"/>
    </row>
    <row r="126" spans="1:6" ht="12.75">
      <c r="A126" s="24"/>
      <c r="B126" s="24"/>
      <c r="C126" s="24"/>
      <c r="D126" s="25"/>
      <c r="E126" s="26"/>
      <c r="F126" s="26"/>
    </row>
    <row r="127" spans="1:6" ht="12.75">
      <c r="A127" s="24"/>
      <c r="B127" s="24"/>
      <c r="C127" s="24"/>
      <c r="D127" s="25"/>
      <c r="E127" s="26"/>
      <c r="F127" s="26"/>
    </row>
    <row r="128" spans="1:6" ht="12.75">
      <c r="A128" s="24"/>
      <c r="B128" s="24"/>
      <c r="C128" s="24"/>
      <c r="D128" s="25"/>
      <c r="E128" s="26"/>
      <c r="F128" s="26"/>
    </row>
    <row r="129" spans="1:6" ht="12.75">
      <c r="A129" s="24"/>
      <c r="B129" s="24"/>
      <c r="C129" s="24"/>
      <c r="D129" s="25"/>
      <c r="E129" s="26"/>
      <c r="F129" s="26"/>
    </row>
    <row r="130" spans="1:6" ht="12.75">
      <c r="A130" s="24"/>
      <c r="B130" s="24"/>
      <c r="C130" s="24"/>
      <c r="D130" s="25"/>
      <c r="E130" s="26"/>
      <c r="F130" s="26"/>
    </row>
    <row r="131" spans="1:6" ht="12.75">
      <c r="A131" s="24"/>
      <c r="B131" s="24"/>
      <c r="C131" s="24"/>
      <c r="D131" s="25"/>
      <c r="E131" s="26"/>
      <c r="F131" s="26"/>
    </row>
    <row r="132" spans="1:6" ht="12.75">
      <c r="A132" s="24"/>
      <c r="B132" s="24"/>
      <c r="C132" s="24"/>
      <c r="D132" s="25"/>
      <c r="E132" s="26"/>
      <c r="F132" s="26"/>
    </row>
    <row r="133" spans="1:6" ht="12.75">
      <c r="A133" s="24"/>
      <c r="B133" s="24"/>
      <c r="C133" s="24"/>
      <c r="D133" s="25"/>
      <c r="E133" s="26"/>
      <c r="F133" s="26"/>
    </row>
    <row r="134" spans="1:6" ht="12.75">
      <c r="A134" s="24"/>
      <c r="B134" s="24"/>
      <c r="C134" s="24"/>
      <c r="D134" s="25"/>
      <c r="E134" s="26"/>
      <c r="F134" s="26"/>
    </row>
    <row r="135" spans="1:6" ht="12.75">
      <c r="A135" s="24"/>
      <c r="B135" s="24"/>
      <c r="C135" s="24"/>
      <c r="D135" s="25"/>
      <c r="E135" s="26"/>
      <c r="F135" s="26"/>
    </row>
    <row r="136" spans="1:6" ht="12.75">
      <c r="A136" s="24"/>
      <c r="B136" s="24"/>
      <c r="C136" s="24"/>
      <c r="D136" s="25"/>
      <c r="E136" s="26"/>
      <c r="F136" s="26"/>
    </row>
    <row r="137" spans="1:6" ht="12.75">
      <c r="A137" s="24"/>
      <c r="B137" s="24"/>
      <c r="C137" s="24"/>
      <c r="D137" s="25"/>
      <c r="E137" s="26"/>
      <c r="F137" s="26"/>
    </row>
    <row r="138" spans="1:6" ht="12.75">
      <c r="A138" s="24"/>
      <c r="B138" s="24"/>
      <c r="C138" s="24"/>
      <c r="D138" s="25"/>
      <c r="E138" s="26"/>
      <c r="F138" s="26"/>
    </row>
    <row r="139" spans="1:6" ht="12.75">
      <c r="A139" s="24"/>
      <c r="B139" s="24"/>
      <c r="C139" s="24"/>
      <c r="D139" s="25"/>
      <c r="E139" s="26"/>
      <c r="F139" s="26"/>
    </row>
    <row r="140" spans="1:6" ht="12.75">
      <c r="A140" s="24"/>
      <c r="B140" s="24"/>
      <c r="C140" s="24"/>
      <c r="D140" s="25"/>
      <c r="E140" s="26"/>
      <c r="F140" s="26"/>
    </row>
    <row r="141" spans="1:6" ht="12.75">
      <c r="A141" s="24"/>
      <c r="B141" s="24"/>
      <c r="C141" s="24"/>
      <c r="D141" s="25"/>
      <c r="E141" s="26"/>
      <c r="F141" s="26"/>
    </row>
    <row r="142" spans="1:6" ht="12.75">
      <c r="A142" s="24"/>
      <c r="B142" s="24"/>
      <c r="C142" s="24"/>
      <c r="D142" s="25"/>
      <c r="E142" s="26"/>
      <c r="F142" s="26"/>
    </row>
    <row r="143" spans="1:6" ht="12.75">
      <c r="A143" s="24"/>
      <c r="B143" s="24"/>
      <c r="C143" s="24"/>
      <c r="D143" s="25"/>
      <c r="E143" s="26"/>
      <c r="F143" s="26"/>
    </row>
    <row r="144" spans="1:6" ht="12.75">
      <c r="A144" s="24"/>
      <c r="B144" s="24"/>
      <c r="C144" s="24"/>
      <c r="D144" s="25"/>
      <c r="E144" s="26"/>
      <c r="F144" s="26"/>
    </row>
    <row r="145" spans="1:6" ht="12.75">
      <c r="A145" s="24"/>
      <c r="B145" s="24"/>
      <c r="C145" s="24"/>
      <c r="D145" s="25"/>
      <c r="E145" s="26"/>
      <c r="F145" s="26"/>
    </row>
    <row r="146" spans="1:6" ht="12.75">
      <c r="A146" s="24"/>
      <c r="B146" s="24"/>
      <c r="C146" s="24"/>
      <c r="D146" s="25"/>
      <c r="E146" s="26"/>
      <c r="F146" s="26"/>
    </row>
    <row r="147" spans="1:6" ht="12.75">
      <c r="A147" s="24"/>
      <c r="B147" s="24"/>
      <c r="C147" s="24"/>
      <c r="D147" s="25"/>
      <c r="E147" s="26"/>
      <c r="F147" s="26"/>
    </row>
    <row r="148" spans="1:6" ht="12.75">
      <c r="A148" s="24"/>
      <c r="B148" s="24"/>
      <c r="C148" s="24"/>
      <c r="D148" s="25"/>
      <c r="E148" s="26"/>
      <c r="F148" s="26"/>
    </row>
    <row r="149" spans="1:6" ht="12.75">
      <c r="A149" s="24"/>
      <c r="B149" s="24"/>
      <c r="C149" s="24"/>
      <c r="D149" s="25"/>
      <c r="E149" s="26"/>
      <c r="F149" s="26"/>
    </row>
    <row r="150" spans="1:6" ht="12.75">
      <c r="A150" s="24"/>
      <c r="B150" s="24"/>
      <c r="C150" s="24"/>
      <c r="D150" s="25"/>
      <c r="E150" s="26"/>
      <c r="F150" s="26"/>
    </row>
    <row r="151" spans="1:6" ht="12.75">
      <c r="A151" s="24"/>
      <c r="B151" s="24"/>
      <c r="C151" s="24"/>
      <c r="D151" s="25"/>
      <c r="E151" s="26"/>
      <c r="F151" s="26"/>
    </row>
    <row r="152" spans="1:6" ht="12.75">
      <c r="A152" s="24"/>
      <c r="B152" s="24"/>
      <c r="C152" s="24"/>
      <c r="D152" s="25"/>
      <c r="E152" s="26"/>
      <c r="F152" s="26"/>
    </row>
    <row r="153" spans="1:6" ht="12.75">
      <c r="A153" s="24"/>
      <c r="B153" s="24"/>
      <c r="C153" s="24"/>
      <c r="D153" s="25"/>
      <c r="E153" s="26"/>
      <c r="F153" s="26"/>
    </row>
    <row r="154" spans="1:6" ht="12.75">
      <c r="A154" s="24"/>
      <c r="B154" s="24"/>
      <c r="C154" s="24"/>
      <c r="D154" s="25"/>
      <c r="E154" s="26"/>
      <c r="F154" s="26"/>
    </row>
    <row r="155" spans="1:6" ht="12.75">
      <c r="A155" s="24"/>
      <c r="B155" s="24"/>
      <c r="C155" s="24"/>
      <c r="D155" s="25"/>
      <c r="E155" s="26"/>
      <c r="F155" s="26"/>
    </row>
    <row r="156" spans="1:6" ht="12.75">
      <c r="A156" s="24"/>
      <c r="B156" s="24"/>
      <c r="C156" s="24"/>
      <c r="D156" s="25"/>
      <c r="E156" s="26"/>
      <c r="F156" s="26"/>
    </row>
    <row r="157" spans="1:6" ht="12.75">
      <c r="A157" s="24"/>
      <c r="B157" s="24"/>
      <c r="C157" s="24"/>
      <c r="D157" s="25"/>
      <c r="E157" s="26"/>
      <c r="F157" s="26"/>
    </row>
    <row r="158" spans="1:6" ht="12.75">
      <c r="A158" s="24"/>
      <c r="B158" s="24"/>
      <c r="C158" s="24"/>
      <c r="D158" s="25"/>
      <c r="E158" s="26"/>
      <c r="F158" s="26"/>
    </row>
    <row r="159" spans="1:6" ht="12.75">
      <c r="A159" s="24"/>
      <c r="B159" s="24"/>
      <c r="C159" s="24"/>
      <c r="D159" s="25"/>
      <c r="E159" s="26"/>
      <c r="F159" s="26"/>
    </row>
    <row r="160" spans="1:6" ht="12.75">
      <c r="A160" s="24"/>
      <c r="B160" s="24"/>
      <c r="C160" s="24"/>
      <c r="D160" s="25"/>
      <c r="E160" s="26"/>
      <c r="F160" s="26"/>
    </row>
    <row r="161" spans="1:6" ht="12.75">
      <c r="A161" s="24"/>
      <c r="B161" s="24"/>
      <c r="C161" s="24"/>
      <c r="D161" s="25"/>
      <c r="E161" s="26"/>
      <c r="F161" s="26"/>
    </row>
    <row r="162" spans="1:6" ht="12.75">
      <c r="A162" s="24"/>
      <c r="B162" s="24"/>
      <c r="C162" s="24"/>
      <c r="D162" s="25"/>
      <c r="E162" s="26"/>
      <c r="F162" s="26"/>
    </row>
    <row r="163" spans="1:6" ht="12.75">
      <c r="A163" s="24"/>
      <c r="B163" s="24"/>
      <c r="C163" s="24"/>
      <c r="D163" s="25"/>
      <c r="E163" s="26"/>
      <c r="F163" s="26"/>
    </row>
    <row r="164" spans="1:6" ht="12.75">
      <c r="A164" s="24"/>
      <c r="B164" s="24"/>
      <c r="C164" s="24"/>
      <c r="D164" s="25"/>
      <c r="E164" s="26"/>
      <c r="F164" s="26"/>
    </row>
    <row r="165" spans="1:6" ht="12.75">
      <c r="A165" s="24"/>
      <c r="B165" s="24"/>
      <c r="C165" s="24"/>
      <c r="D165" s="25"/>
      <c r="E165" s="26"/>
      <c r="F165" s="26"/>
    </row>
    <row r="166" spans="1:6" ht="12.75">
      <c r="A166" s="24"/>
      <c r="B166" s="24"/>
      <c r="C166" s="24"/>
      <c r="D166" s="25"/>
      <c r="E166" s="26"/>
      <c r="F166" s="26"/>
    </row>
    <row r="167" spans="1:6" ht="12.75">
      <c r="A167" s="24"/>
      <c r="B167" s="24"/>
      <c r="C167" s="24"/>
      <c r="D167" s="25"/>
      <c r="E167" s="26"/>
      <c r="F167" s="26"/>
    </row>
    <row r="168" spans="1:6" ht="12.75">
      <c r="A168" s="24"/>
      <c r="B168" s="24"/>
      <c r="C168" s="24"/>
      <c r="D168" s="25"/>
      <c r="E168" s="26"/>
      <c r="F168" s="26"/>
    </row>
    <row r="169" spans="1:6" ht="12.75">
      <c r="A169" s="24"/>
      <c r="B169" s="24"/>
      <c r="C169" s="24"/>
      <c r="D169" s="25"/>
      <c r="E169" s="26"/>
      <c r="F169" s="26"/>
    </row>
    <row r="170" spans="1:6" ht="12.75">
      <c r="A170" s="24"/>
      <c r="B170" s="24"/>
      <c r="C170" s="24"/>
      <c r="D170" s="25"/>
      <c r="E170" s="26"/>
      <c r="F170" s="26"/>
    </row>
    <row r="171" spans="1:6" ht="12.75">
      <c r="A171" s="24"/>
      <c r="B171" s="24"/>
      <c r="C171" s="24"/>
      <c r="D171" s="25"/>
      <c r="E171" s="26"/>
      <c r="F171" s="26"/>
    </row>
    <row r="172" spans="1:6" ht="12.75">
      <c r="A172" s="24"/>
      <c r="B172" s="24"/>
      <c r="C172" s="24"/>
      <c r="D172" s="25"/>
      <c r="E172" s="26"/>
      <c r="F172" s="26"/>
    </row>
    <row r="173" spans="1:6" ht="12.75">
      <c r="A173" s="24"/>
      <c r="B173" s="24"/>
      <c r="C173" s="24"/>
      <c r="D173" s="25"/>
      <c r="E173" s="26"/>
      <c r="F173" s="26"/>
    </row>
    <row r="174" spans="1:6" ht="12.75">
      <c r="A174" s="24"/>
      <c r="B174" s="24"/>
      <c r="C174" s="24"/>
      <c r="D174" s="25"/>
      <c r="E174" s="26"/>
      <c r="F174" s="26"/>
    </row>
    <row r="175" spans="1:6" ht="12.75">
      <c r="A175" s="24"/>
      <c r="B175" s="24"/>
      <c r="C175" s="24"/>
      <c r="D175" s="25"/>
      <c r="E175" s="26"/>
      <c r="F175" s="26"/>
    </row>
    <row r="176" spans="1:6" ht="12.75">
      <c r="A176" s="24"/>
      <c r="B176" s="24"/>
      <c r="C176" s="24"/>
      <c r="D176" s="25"/>
      <c r="E176" s="26"/>
      <c r="F176" s="26"/>
    </row>
    <row r="177" spans="1:6" ht="12.75">
      <c r="A177" s="24"/>
      <c r="B177" s="24"/>
      <c r="C177" s="24"/>
      <c r="D177" s="25"/>
      <c r="E177" s="26"/>
      <c r="F177" s="26"/>
    </row>
    <row r="178" spans="1:6" ht="12.75">
      <c r="A178" s="24"/>
      <c r="B178" s="24"/>
      <c r="C178" s="24"/>
      <c r="D178" s="25"/>
      <c r="E178" s="26"/>
      <c r="F178" s="26"/>
    </row>
    <row r="179" spans="1:6" ht="12.75">
      <c r="A179" s="24"/>
      <c r="B179" s="24"/>
      <c r="C179" s="24"/>
      <c r="D179" s="25"/>
      <c r="E179" s="26"/>
      <c r="F179" s="26"/>
    </row>
    <row r="180" spans="1:6" ht="12.75">
      <c r="A180" s="24"/>
      <c r="B180" s="24"/>
      <c r="C180" s="24"/>
      <c r="D180" s="25"/>
      <c r="E180" s="26"/>
      <c r="F180" s="26"/>
    </row>
    <row r="181" spans="1:6" ht="12.75">
      <c r="A181" s="24"/>
      <c r="B181" s="24"/>
      <c r="C181" s="24"/>
      <c r="D181" s="25"/>
      <c r="E181" s="26"/>
      <c r="F181" s="26"/>
    </row>
    <row r="182" spans="1:6" ht="12.75">
      <c r="A182" s="24"/>
      <c r="B182" s="24"/>
      <c r="C182" s="24"/>
      <c r="D182" s="25"/>
      <c r="E182" s="26"/>
      <c r="F182" s="26"/>
    </row>
    <row r="183" spans="1:6" ht="12.75">
      <c r="A183" s="24"/>
      <c r="B183" s="24"/>
      <c r="C183" s="24"/>
      <c r="D183" s="25"/>
      <c r="E183" s="26"/>
      <c r="F183" s="26"/>
    </row>
    <row r="184" spans="1:6" ht="12.75">
      <c r="A184" s="24"/>
      <c r="B184" s="24"/>
      <c r="C184" s="24"/>
      <c r="D184" s="25"/>
      <c r="E184" s="26"/>
      <c r="F184" s="26"/>
    </row>
    <row r="185" spans="1:6" ht="12.75">
      <c r="A185" s="24"/>
      <c r="B185" s="24"/>
      <c r="C185" s="24"/>
      <c r="D185" s="25"/>
      <c r="E185" s="26"/>
      <c r="F185" s="26"/>
    </row>
    <row r="186" spans="1:6" ht="12.75">
      <c r="A186" s="24"/>
      <c r="B186" s="24"/>
      <c r="C186" s="24"/>
      <c r="D186" s="25"/>
      <c r="E186" s="26"/>
      <c r="F186" s="26"/>
    </row>
    <row r="187" spans="1:6" ht="12.75">
      <c r="A187" s="24"/>
      <c r="B187" s="24"/>
      <c r="C187" s="24"/>
      <c r="D187" s="25"/>
      <c r="E187" s="26"/>
      <c r="F187" s="26"/>
    </row>
    <row r="188" spans="1:6" ht="12.75">
      <c r="A188" s="24"/>
      <c r="B188" s="24"/>
      <c r="C188" s="24"/>
      <c r="D188" s="25"/>
      <c r="E188" s="26"/>
      <c r="F188" s="26"/>
    </row>
    <row r="189" spans="1:6" ht="12.75">
      <c r="A189" s="24"/>
      <c r="B189" s="24"/>
      <c r="C189" s="24"/>
      <c r="D189" s="25"/>
      <c r="E189" s="26"/>
      <c r="F189" s="26"/>
    </row>
    <row r="190" spans="1:6" ht="12.75">
      <c r="A190" s="24"/>
      <c r="B190" s="24"/>
      <c r="C190" s="24"/>
      <c r="D190" s="25"/>
      <c r="E190" s="26"/>
      <c r="F190" s="26"/>
    </row>
    <row r="191" spans="1:6" ht="12.75">
      <c r="A191" s="24"/>
      <c r="B191" s="24"/>
      <c r="C191" s="24"/>
      <c r="D191" s="25"/>
      <c r="E191" s="26"/>
      <c r="F191" s="26"/>
    </row>
    <row r="192" spans="1:6" ht="12.75">
      <c r="A192" s="24"/>
      <c r="B192" s="24"/>
      <c r="C192" s="24"/>
      <c r="D192" s="25"/>
      <c r="E192" s="26"/>
      <c r="F192" s="26"/>
    </row>
    <row r="193" spans="1:6" ht="12.75">
      <c r="A193" s="24"/>
      <c r="B193" s="24"/>
      <c r="C193" s="24"/>
      <c r="D193" s="25"/>
      <c r="E193" s="26"/>
      <c r="F193" s="26"/>
    </row>
    <row r="194" spans="1:6" ht="12.75">
      <c r="A194" s="24"/>
      <c r="B194" s="24"/>
      <c r="C194" s="24"/>
      <c r="D194" s="25"/>
      <c r="E194" s="26"/>
      <c r="F194" s="26"/>
    </row>
    <row r="195" spans="1:6" ht="12.75">
      <c r="A195" s="24"/>
      <c r="B195" s="24"/>
      <c r="C195" s="24"/>
      <c r="D195" s="25"/>
      <c r="E195" s="26"/>
      <c r="F195" s="26"/>
    </row>
    <row r="196" spans="1:6" ht="12.75">
      <c r="A196" s="24"/>
      <c r="B196" s="24"/>
      <c r="C196" s="24"/>
      <c r="D196" s="25"/>
      <c r="E196" s="26"/>
      <c r="F196" s="26"/>
    </row>
    <row r="197" spans="1:6" ht="12.75">
      <c r="A197" s="24"/>
      <c r="B197" s="24"/>
      <c r="C197" s="24"/>
      <c r="D197" s="25"/>
      <c r="E197" s="26"/>
      <c r="F197" s="26"/>
    </row>
    <row r="198" spans="1:6" ht="12.75">
      <c r="A198" s="24"/>
      <c r="B198" s="24"/>
      <c r="C198" s="24"/>
      <c r="D198" s="25"/>
      <c r="E198" s="26"/>
      <c r="F198" s="26"/>
    </row>
    <row r="199" spans="1:6" ht="12.75">
      <c r="A199" s="24"/>
      <c r="B199" s="24"/>
      <c r="C199" s="24"/>
      <c r="D199" s="25"/>
      <c r="E199" s="26"/>
      <c r="F199" s="26"/>
    </row>
    <row r="200" spans="1:6" ht="12.75">
      <c r="A200" s="24"/>
      <c r="B200" s="24"/>
      <c r="C200" s="24"/>
      <c r="D200" s="25"/>
      <c r="E200" s="26"/>
      <c r="F200" s="26"/>
    </row>
    <row r="201" spans="1:6" ht="12.75">
      <c r="A201" s="24"/>
      <c r="B201" s="24"/>
      <c r="C201" s="24"/>
      <c r="D201" s="25"/>
      <c r="E201" s="26"/>
      <c r="F201" s="26"/>
    </row>
    <row r="202" spans="1:6" ht="12.75">
      <c r="A202" s="24"/>
      <c r="B202" s="24"/>
      <c r="C202" s="24"/>
      <c r="D202" s="25"/>
      <c r="E202" s="26"/>
      <c r="F202" s="26"/>
    </row>
    <row r="203" spans="1:6" ht="12.75">
      <c r="A203" s="24"/>
      <c r="B203" s="24"/>
      <c r="C203" s="24"/>
      <c r="D203" s="25"/>
      <c r="E203" s="26"/>
      <c r="F203" s="26"/>
    </row>
    <row r="204" spans="1:6" ht="12.75">
      <c r="A204" s="24"/>
      <c r="B204" s="24"/>
      <c r="C204" s="24"/>
      <c r="D204" s="25"/>
      <c r="E204" s="26"/>
      <c r="F204" s="26"/>
    </row>
    <row r="205" spans="1:6" ht="12.75">
      <c r="A205" s="24"/>
      <c r="B205" s="24"/>
      <c r="C205" s="24"/>
      <c r="D205" s="25"/>
      <c r="E205" s="26"/>
      <c r="F205" s="26"/>
    </row>
    <row r="206" spans="1:6" ht="12.75">
      <c r="A206" s="24"/>
      <c r="B206" s="24"/>
      <c r="C206" s="24"/>
      <c r="D206" s="25"/>
      <c r="E206" s="26"/>
      <c r="F206" s="26"/>
    </row>
    <row r="207" spans="1:6" ht="12.75">
      <c r="A207" s="24"/>
      <c r="B207" s="24"/>
      <c r="C207" s="24"/>
      <c r="D207" s="25"/>
      <c r="E207" s="26"/>
      <c r="F207" s="26"/>
    </row>
    <row r="208" spans="1:6" ht="12.75">
      <c r="A208" s="24"/>
      <c r="B208" s="24"/>
      <c r="C208" s="24"/>
      <c r="D208" s="25"/>
      <c r="E208" s="26"/>
      <c r="F208" s="26"/>
    </row>
    <row r="209" spans="1:6" ht="12.75">
      <c r="A209" s="24"/>
      <c r="B209" s="24"/>
      <c r="C209" s="24"/>
      <c r="D209" s="25"/>
      <c r="E209" s="26"/>
      <c r="F209" s="26"/>
    </row>
    <row r="210" spans="1:6" ht="12.75">
      <c r="A210" s="24"/>
      <c r="B210" s="24"/>
      <c r="C210" s="24"/>
      <c r="D210" s="25"/>
      <c r="E210" s="26"/>
      <c r="F210" s="26"/>
    </row>
    <row r="211" spans="1:6" ht="12.75">
      <c r="A211" s="24"/>
      <c r="B211" s="24"/>
      <c r="C211" s="24"/>
      <c r="D211" s="25"/>
      <c r="E211" s="26"/>
      <c r="F211" s="26"/>
    </row>
    <row r="212" spans="1:6" ht="12.75">
      <c r="A212" s="24"/>
      <c r="B212" s="24"/>
      <c r="C212" s="24"/>
      <c r="D212" s="25"/>
      <c r="E212" s="26"/>
      <c r="F212" s="26"/>
    </row>
    <row r="213" spans="1:6" ht="12.75">
      <c r="A213" s="24"/>
      <c r="B213" s="24"/>
      <c r="C213" s="24"/>
      <c r="D213" s="25"/>
      <c r="E213" s="26"/>
      <c r="F213" s="26"/>
    </row>
    <row r="214" spans="1:6" ht="12.75">
      <c r="A214" s="24"/>
      <c r="B214" s="24"/>
      <c r="C214" s="24"/>
      <c r="D214" s="25"/>
      <c r="E214" s="26"/>
      <c r="F214" s="26"/>
    </row>
    <row r="215" spans="1:6" ht="12.75">
      <c r="A215" s="24"/>
      <c r="B215" s="24"/>
      <c r="C215" s="24"/>
      <c r="D215" s="25"/>
      <c r="E215" s="26"/>
      <c r="F215" s="26"/>
    </row>
    <row r="216" spans="1:6" ht="12.75">
      <c r="A216" s="24"/>
      <c r="B216" s="24"/>
      <c r="C216" s="24"/>
      <c r="D216" s="25"/>
      <c r="E216" s="26"/>
      <c r="F216" s="26"/>
    </row>
    <row r="217" spans="1:6" ht="12.75">
      <c r="A217" s="24"/>
      <c r="B217" s="24"/>
      <c r="C217" s="24"/>
      <c r="D217" s="25"/>
      <c r="E217" s="26"/>
      <c r="F217" s="26"/>
    </row>
    <row r="218" spans="1:6" ht="12.75">
      <c r="A218" s="24"/>
      <c r="B218" s="24"/>
      <c r="C218" s="24"/>
      <c r="D218" s="25"/>
      <c r="E218" s="26"/>
      <c r="F218" s="26"/>
    </row>
    <row r="219" spans="1:6" ht="12.75">
      <c r="A219" s="24"/>
      <c r="B219" s="24"/>
      <c r="C219" s="24"/>
      <c r="D219" s="25"/>
      <c r="E219" s="26"/>
      <c r="F219" s="26"/>
    </row>
    <row r="220" spans="1:6" ht="12.75">
      <c r="A220" s="24"/>
      <c r="B220" s="24"/>
      <c r="C220" s="24"/>
      <c r="D220" s="25"/>
      <c r="E220" s="26"/>
      <c r="F220" s="26"/>
    </row>
    <row r="221" spans="1:6" ht="12.75">
      <c r="A221" s="24"/>
      <c r="B221" s="24"/>
      <c r="C221" s="24"/>
      <c r="D221" s="25"/>
      <c r="E221" s="26"/>
      <c r="F221" s="26"/>
    </row>
    <row r="222" spans="1:6" ht="12.75">
      <c r="A222" s="24"/>
      <c r="B222" s="24"/>
      <c r="C222" s="24"/>
      <c r="D222" s="25"/>
      <c r="E222" s="26"/>
      <c r="F222" s="26"/>
    </row>
    <row r="223" spans="1:6" ht="12.75">
      <c r="A223" s="24"/>
      <c r="B223" s="24"/>
      <c r="C223" s="24"/>
      <c r="D223" s="25"/>
      <c r="E223" s="26"/>
      <c r="F223" s="26"/>
    </row>
    <row r="224" spans="1:6" ht="12.75">
      <c r="A224" s="24"/>
      <c r="B224" s="24"/>
      <c r="C224" s="24"/>
      <c r="D224" s="25"/>
      <c r="E224" s="26"/>
      <c r="F224" s="26"/>
    </row>
    <row r="225" spans="1:6" ht="12.75">
      <c r="A225" s="24"/>
      <c r="B225" s="24"/>
      <c r="C225" s="24"/>
      <c r="D225" s="25"/>
      <c r="E225" s="26"/>
      <c r="F225" s="26"/>
    </row>
    <row r="226" spans="1:6" ht="12.75">
      <c r="A226" s="24"/>
      <c r="B226" s="24"/>
      <c r="C226" s="24"/>
      <c r="D226" s="25"/>
      <c r="E226" s="26"/>
      <c r="F226" s="26"/>
    </row>
    <row r="227" spans="1:6" ht="12.75">
      <c r="A227" s="24"/>
      <c r="B227" s="24"/>
      <c r="C227" s="24"/>
      <c r="D227" s="25"/>
      <c r="E227" s="26"/>
      <c r="F227" s="26"/>
    </row>
    <row r="228" spans="1:6" ht="12.75">
      <c r="A228" s="24"/>
      <c r="B228" s="24"/>
      <c r="C228" s="24"/>
      <c r="D228" s="25"/>
      <c r="E228" s="26"/>
      <c r="F228" s="26"/>
    </row>
    <row r="229" spans="1:6" ht="12.75">
      <c r="A229" s="24"/>
      <c r="B229" s="24"/>
      <c r="C229" s="24"/>
      <c r="D229" s="25"/>
      <c r="E229" s="26"/>
      <c r="F229" s="26"/>
    </row>
    <row r="230" spans="1:6" ht="12.75">
      <c r="A230" s="24"/>
      <c r="B230" s="24"/>
      <c r="C230" s="24"/>
      <c r="D230" s="25"/>
      <c r="E230" s="26"/>
      <c r="F230" s="26"/>
    </row>
    <row r="231" spans="1:6" ht="12.75">
      <c r="A231" s="24"/>
      <c r="B231" s="24"/>
      <c r="C231" s="24"/>
      <c r="D231" s="25"/>
      <c r="E231" s="26"/>
      <c r="F231" s="26"/>
    </row>
    <row r="232" spans="1:6" ht="12.75">
      <c r="A232" s="24"/>
      <c r="B232" s="24"/>
      <c r="C232" s="24"/>
      <c r="D232" s="25"/>
      <c r="E232" s="26"/>
      <c r="F232" s="26"/>
    </row>
    <row r="233" spans="1:6" ht="12.75">
      <c r="A233" s="24"/>
      <c r="B233" s="24"/>
      <c r="C233" s="24"/>
      <c r="D233" s="25"/>
      <c r="E233" s="26"/>
      <c r="F233" s="26"/>
    </row>
    <row r="234" spans="1:6" ht="12.75">
      <c r="A234" s="24"/>
      <c r="B234" s="24"/>
      <c r="C234" s="24"/>
      <c r="D234" s="25"/>
      <c r="E234" s="26"/>
      <c r="F234" s="26"/>
    </row>
    <row r="235" spans="1:6" ht="12.75">
      <c r="A235" s="24"/>
      <c r="B235" s="24"/>
      <c r="C235" s="24"/>
      <c r="D235" s="25"/>
      <c r="E235" s="26"/>
      <c r="F235" s="26"/>
    </row>
    <row r="236" spans="1:6" ht="12.75">
      <c r="A236" s="24"/>
      <c r="B236" s="24"/>
      <c r="C236" s="24"/>
      <c r="D236" s="25"/>
      <c r="E236" s="26"/>
      <c r="F236" s="26"/>
    </row>
    <row r="237" spans="1:6" ht="12.75">
      <c r="A237" s="24"/>
      <c r="B237" s="24"/>
      <c r="C237" s="24"/>
      <c r="D237" s="25"/>
      <c r="E237" s="26"/>
      <c r="F237" s="26"/>
    </row>
    <row r="238" spans="1:6" ht="12.75">
      <c r="A238" s="24"/>
      <c r="B238" s="24"/>
      <c r="C238" s="24"/>
      <c r="D238" s="25"/>
      <c r="E238" s="26"/>
      <c r="F238" s="26"/>
    </row>
    <row r="239" spans="1:6" ht="12.75">
      <c r="A239" s="24"/>
      <c r="B239" s="24"/>
      <c r="C239" s="24"/>
      <c r="D239" s="25"/>
      <c r="E239" s="26"/>
      <c r="F239" s="26"/>
    </row>
    <row r="240" spans="1:6" ht="12.75">
      <c r="A240" s="24"/>
      <c r="B240" s="24"/>
      <c r="C240" s="24"/>
      <c r="D240" s="25"/>
      <c r="E240" s="26"/>
      <c r="F240" s="26"/>
    </row>
    <row r="241" spans="1:6" ht="12.75">
      <c r="A241" s="24"/>
      <c r="B241" s="24"/>
      <c r="C241" s="24"/>
      <c r="D241" s="25"/>
      <c r="E241" s="26"/>
      <c r="F241" s="26"/>
    </row>
    <row r="242" spans="1:6" ht="12.75">
      <c r="A242" s="24"/>
      <c r="B242" s="24"/>
      <c r="C242" s="24"/>
      <c r="D242" s="25"/>
      <c r="E242" s="26"/>
      <c r="F242" s="26"/>
    </row>
    <row r="243" spans="1:6" ht="12.75">
      <c r="A243" s="24"/>
      <c r="B243" s="24"/>
      <c r="C243" s="24"/>
      <c r="D243" s="25"/>
      <c r="E243" s="26"/>
      <c r="F243" s="26"/>
    </row>
    <row r="244" spans="1:6" ht="12.75">
      <c r="A244" s="24"/>
      <c r="B244" s="24"/>
      <c r="C244" s="24"/>
      <c r="D244" s="25"/>
      <c r="E244" s="26"/>
      <c r="F244" s="26"/>
    </row>
    <row r="245" spans="1:6" ht="12.75">
      <c r="A245" s="24"/>
      <c r="B245" s="24"/>
      <c r="C245" s="24"/>
      <c r="D245" s="25"/>
      <c r="E245" s="26"/>
      <c r="F245" s="26"/>
    </row>
    <row r="246" spans="1:6" ht="12.75">
      <c r="A246" s="24"/>
      <c r="B246" s="24"/>
      <c r="C246" s="24"/>
      <c r="D246" s="25"/>
      <c r="E246" s="26"/>
      <c r="F246" s="26"/>
    </row>
    <row r="247" spans="1:6" ht="12.75">
      <c r="A247" s="24"/>
      <c r="B247" s="24"/>
      <c r="C247" s="24"/>
      <c r="D247" s="25"/>
      <c r="E247" s="26"/>
      <c r="F247" s="26"/>
    </row>
    <row r="248" spans="1:6" ht="12.75">
      <c r="A248" s="24"/>
      <c r="B248" s="24"/>
      <c r="C248" s="24"/>
      <c r="D248" s="25"/>
      <c r="E248" s="26"/>
      <c r="F248" s="26"/>
    </row>
    <row r="249" spans="1:6" ht="12.75">
      <c r="A249" s="24"/>
      <c r="B249" s="24"/>
      <c r="C249" s="24"/>
      <c r="D249" s="25"/>
      <c r="E249" s="26"/>
      <c r="F249" s="26"/>
    </row>
    <row r="250" spans="1:6" ht="12.75">
      <c r="A250" s="24"/>
      <c r="B250" s="24"/>
      <c r="C250" s="24"/>
      <c r="D250" s="25"/>
      <c r="E250" s="26"/>
      <c r="F250" s="26"/>
    </row>
    <row r="251" spans="1:6" ht="12.75">
      <c r="A251" s="24"/>
      <c r="B251" s="24"/>
      <c r="C251" s="24"/>
      <c r="D251" s="25"/>
      <c r="E251" s="26"/>
      <c r="F251" s="26"/>
    </row>
    <row r="252" spans="1:6" ht="12.75">
      <c r="A252" s="24"/>
      <c r="B252" s="24"/>
      <c r="C252" s="24"/>
      <c r="D252" s="25"/>
      <c r="E252" s="26"/>
      <c r="F252" s="26"/>
    </row>
    <row r="253" spans="1:6" ht="12.75">
      <c r="A253" s="24"/>
      <c r="B253" s="24"/>
      <c r="C253" s="24"/>
      <c r="D253" s="25"/>
      <c r="E253" s="26"/>
      <c r="F253" s="26"/>
    </row>
    <row r="254" spans="1:6" ht="12.75">
      <c r="A254" s="24"/>
      <c r="B254" s="24"/>
      <c r="C254" s="24"/>
      <c r="D254" s="25"/>
      <c r="E254" s="26"/>
      <c r="F254" s="26"/>
    </row>
    <row r="255" spans="1:6" ht="12.75">
      <c r="A255" s="24"/>
      <c r="B255" s="24"/>
      <c r="C255" s="24"/>
      <c r="D255" s="25"/>
      <c r="E255" s="26"/>
      <c r="F255" s="26"/>
    </row>
    <row r="256" spans="1:6" ht="12.75">
      <c r="A256" s="24"/>
      <c r="B256" s="24"/>
      <c r="C256" s="24"/>
      <c r="D256" s="25"/>
      <c r="E256" s="26"/>
      <c r="F256" s="26"/>
    </row>
    <row r="257" spans="1:6" ht="12.75">
      <c r="A257" s="24"/>
      <c r="B257" s="24"/>
      <c r="C257" s="24"/>
      <c r="D257" s="25"/>
      <c r="E257" s="26"/>
      <c r="F257" s="26"/>
    </row>
    <row r="258" spans="1:6" ht="12.75">
      <c r="A258" s="24"/>
      <c r="B258" s="24"/>
      <c r="C258" s="24"/>
      <c r="D258" s="25"/>
      <c r="E258" s="26"/>
      <c r="F258" s="26"/>
    </row>
    <row r="259" spans="1:6" ht="12.75">
      <c r="A259" s="24"/>
      <c r="B259" s="24"/>
      <c r="C259" s="24"/>
      <c r="D259" s="25"/>
      <c r="E259" s="26"/>
      <c r="F259" s="26"/>
    </row>
    <row r="260" spans="1:6" ht="12.75">
      <c r="A260" s="24"/>
      <c r="B260" s="24"/>
      <c r="C260" s="24"/>
      <c r="D260" s="25"/>
      <c r="E260" s="26"/>
      <c r="F260" s="26"/>
    </row>
    <row r="261" spans="1:6" ht="12.75">
      <c r="A261" s="24"/>
      <c r="B261" s="24"/>
      <c r="C261" s="24"/>
      <c r="D261" s="25"/>
      <c r="E261" s="26"/>
      <c r="F261" s="26"/>
    </row>
    <row r="262" spans="1:6" ht="12.75">
      <c r="A262" s="24"/>
      <c r="B262" s="24"/>
      <c r="C262" s="24"/>
      <c r="D262" s="25"/>
      <c r="E262" s="26"/>
      <c r="F262" s="26"/>
    </row>
    <row r="263" spans="1:6" ht="12.75">
      <c r="A263" s="24"/>
      <c r="B263" s="24"/>
      <c r="C263" s="24"/>
      <c r="D263" s="25"/>
      <c r="E263" s="26"/>
      <c r="F263" s="26"/>
    </row>
    <row r="264" spans="1:6" ht="12.75">
      <c r="A264" s="24"/>
      <c r="B264" s="24"/>
      <c r="C264" s="24"/>
      <c r="D264" s="25"/>
      <c r="E264" s="26"/>
      <c r="F264" s="26"/>
    </row>
    <row r="265" spans="1:6" ht="12.75">
      <c r="A265" s="24"/>
      <c r="B265" s="24"/>
      <c r="C265" s="24"/>
      <c r="D265" s="25"/>
      <c r="E265" s="26"/>
      <c r="F265" s="26"/>
    </row>
    <row r="266" spans="1:6" ht="12.75">
      <c r="A266" s="24"/>
      <c r="B266" s="24"/>
      <c r="C266" s="24"/>
      <c r="D266" s="25"/>
      <c r="E266" s="26"/>
      <c r="F266" s="26"/>
    </row>
    <row r="267" spans="1:6" ht="12.75">
      <c r="A267" s="24"/>
      <c r="B267" s="24"/>
      <c r="C267" s="24"/>
      <c r="D267" s="25"/>
      <c r="E267" s="26"/>
      <c r="F267" s="26"/>
    </row>
    <row r="268" spans="1:6" ht="12.75">
      <c r="A268" s="24"/>
      <c r="B268" s="24"/>
      <c r="C268" s="24"/>
      <c r="D268" s="25"/>
      <c r="E268" s="26"/>
      <c r="F268" s="26"/>
    </row>
    <row r="269" spans="1:6" ht="12.75">
      <c r="A269" s="24"/>
      <c r="B269" s="24"/>
      <c r="C269" s="24"/>
      <c r="D269" s="25"/>
      <c r="E269" s="26"/>
      <c r="F269" s="26"/>
    </row>
    <row r="270" spans="1:6" ht="12.75">
      <c r="A270" s="24"/>
      <c r="B270" s="24"/>
      <c r="C270" s="24"/>
      <c r="D270" s="25"/>
      <c r="E270" s="26"/>
      <c r="F270" s="26"/>
    </row>
    <row r="271" spans="1:6" ht="12.75">
      <c r="A271" s="24"/>
      <c r="B271" s="24"/>
      <c r="C271" s="24"/>
      <c r="D271" s="25"/>
      <c r="E271" s="26"/>
      <c r="F271" s="26"/>
    </row>
    <row r="272" spans="1:6" ht="12.75">
      <c r="A272" s="24"/>
      <c r="B272" s="24"/>
      <c r="C272" s="24"/>
      <c r="D272" s="25"/>
      <c r="E272" s="26"/>
      <c r="F272" s="26"/>
    </row>
    <row r="273" spans="1:6" ht="12.75">
      <c r="A273" s="24"/>
      <c r="B273" s="24"/>
      <c r="C273" s="24"/>
      <c r="D273" s="25"/>
      <c r="E273" s="26"/>
      <c r="F273" s="26"/>
    </row>
    <row r="274" spans="1:6" ht="12.75">
      <c r="A274" s="24"/>
      <c r="B274" s="24"/>
      <c r="C274" s="24"/>
      <c r="D274" s="25"/>
      <c r="E274" s="26"/>
      <c r="F274" s="26"/>
    </row>
    <row r="275" spans="1:6" ht="12.75">
      <c r="A275" s="24"/>
      <c r="B275" s="24"/>
      <c r="C275" s="24"/>
      <c r="D275" s="25"/>
      <c r="E275" s="26"/>
      <c r="F275" s="26"/>
    </row>
    <row r="276" spans="1:6" ht="12.75">
      <c r="A276" s="24"/>
      <c r="B276" s="24"/>
      <c r="C276" s="24"/>
      <c r="D276" s="25"/>
      <c r="E276" s="26"/>
      <c r="F276" s="26"/>
    </row>
    <row r="277" spans="1:6" ht="12.75">
      <c r="A277" s="24"/>
      <c r="B277" s="24"/>
      <c r="C277" s="24"/>
      <c r="D277" s="25"/>
      <c r="E277" s="26"/>
      <c r="F277" s="26"/>
    </row>
    <row r="278" spans="1:6" ht="12.75">
      <c r="A278" s="24"/>
      <c r="B278" s="24"/>
      <c r="C278" s="24"/>
      <c r="D278" s="25"/>
      <c r="E278" s="26"/>
      <c r="F278" s="26"/>
    </row>
    <row r="279" spans="1:6" ht="12.75">
      <c r="A279" s="24"/>
      <c r="B279" s="24"/>
      <c r="C279" s="24"/>
      <c r="D279" s="25"/>
      <c r="E279" s="26"/>
      <c r="F279" s="26"/>
    </row>
    <row r="280" spans="1:6" ht="12.75">
      <c r="A280" s="24"/>
      <c r="B280" s="24"/>
      <c r="C280" s="24"/>
      <c r="D280" s="25"/>
      <c r="E280" s="26"/>
      <c r="F280" s="26"/>
    </row>
    <row r="281" spans="1:6" ht="12.75">
      <c r="A281" s="24"/>
      <c r="B281" s="24"/>
      <c r="C281" s="24"/>
      <c r="D281" s="25"/>
      <c r="E281" s="26"/>
      <c r="F281" s="26"/>
    </row>
    <row r="282" spans="1:6" ht="12.75">
      <c r="A282" s="24"/>
      <c r="B282" s="24"/>
      <c r="C282" s="24"/>
      <c r="D282" s="25"/>
      <c r="E282" s="26"/>
      <c r="F282" s="26"/>
    </row>
    <row r="283" spans="1:6" ht="12.75">
      <c r="A283" s="24"/>
      <c r="B283" s="24"/>
      <c r="C283" s="24"/>
      <c r="D283" s="25"/>
      <c r="E283" s="26"/>
      <c r="F283" s="26"/>
    </row>
    <row r="284" spans="1:6" ht="12.75">
      <c r="A284" s="24"/>
      <c r="B284" s="24"/>
      <c r="C284" s="24"/>
      <c r="D284" s="25"/>
      <c r="E284" s="26"/>
      <c r="F284" s="26"/>
    </row>
    <row r="285" spans="1:6" ht="12.75">
      <c r="A285" s="24"/>
      <c r="B285" s="24"/>
      <c r="C285" s="24"/>
      <c r="D285" s="25"/>
      <c r="E285" s="26"/>
      <c r="F285" s="26"/>
    </row>
    <row r="286" spans="1:6" ht="12.75">
      <c r="A286" s="24"/>
      <c r="B286" s="24"/>
      <c r="C286" s="24"/>
      <c r="D286" s="25"/>
      <c r="E286" s="26"/>
      <c r="F286" s="26"/>
    </row>
    <row r="287" spans="1:6" ht="12.75">
      <c r="A287" s="24"/>
      <c r="B287" s="24"/>
      <c r="C287" s="24"/>
      <c r="D287" s="25"/>
      <c r="E287" s="26"/>
      <c r="F287" s="26"/>
    </row>
    <row r="288" spans="1:6" ht="12.75">
      <c r="A288" s="24"/>
      <c r="B288" s="24"/>
      <c r="C288" s="24"/>
      <c r="D288" s="25"/>
      <c r="E288" s="26"/>
      <c r="F288" s="26"/>
    </row>
    <row r="289" spans="1:6" ht="12.75">
      <c r="A289" s="24"/>
      <c r="B289" s="24"/>
      <c r="C289" s="24"/>
      <c r="D289" s="25"/>
      <c r="E289" s="26"/>
      <c r="F289" s="26"/>
    </row>
    <row r="290" spans="1:6" ht="12.75">
      <c r="A290" s="24"/>
      <c r="B290" s="24"/>
      <c r="C290" s="24"/>
      <c r="D290" s="25"/>
      <c r="E290" s="26"/>
      <c r="F290" s="26"/>
    </row>
    <row r="291" spans="1:6" ht="12.75">
      <c r="A291" s="24"/>
      <c r="B291" s="24"/>
      <c r="C291" s="24"/>
      <c r="D291" s="25"/>
      <c r="E291" s="26"/>
      <c r="F291" s="26"/>
    </row>
    <row r="292" spans="1:6" ht="12.75">
      <c r="A292" s="24"/>
      <c r="B292" s="24"/>
      <c r="C292" s="24"/>
      <c r="D292" s="25"/>
      <c r="E292" s="26"/>
      <c r="F292" s="26"/>
    </row>
    <row r="293" spans="1:6" ht="12.75">
      <c r="A293" s="24"/>
      <c r="B293" s="24"/>
      <c r="C293" s="24"/>
      <c r="D293" s="25"/>
      <c r="E293" s="26"/>
      <c r="F293" s="26"/>
    </row>
    <row r="294" spans="1:6" ht="12.75">
      <c r="A294" s="24"/>
      <c r="B294" s="24"/>
      <c r="C294" s="24"/>
      <c r="D294" s="25"/>
      <c r="E294" s="26"/>
      <c r="F294" s="26"/>
    </row>
    <row r="295" spans="1:6" ht="12.75">
      <c r="A295" s="24"/>
      <c r="B295" s="24"/>
      <c r="C295" s="24"/>
      <c r="D295" s="25"/>
      <c r="E295" s="26"/>
      <c r="F295" s="26"/>
    </row>
    <row r="296" spans="1:6" ht="12.75">
      <c r="A296" s="24"/>
      <c r="B296" s="24"/>
      <c r="C296" s="24"/>
      <c r="D296" s="25"/>
      <c r="E296" s="26"/>
      <c r="F296" s="26"/>
    </row>
    <row r="297" spans="1:6" ht="12.75">
      <c r="A297" s="24"/>
      <c r="B297" s="24"/>
      <c r="C297" s="24"/>
      <c r="D297" s="25"/>
      <c r="E297" s="26"/>
      <c r="F297" s="26"/>
    </row>
    <row r="298" spans="1:6" ht="12.75">
      <c r="A298" s="24"/>
      <c r="B298" s="24"/>
      <c r="C298" s="24"/>
      <c r="D298" s="25"/>
      <c r="E298" s="26"/>
      <c r="F298" s="26"/>
    </row>
    <row r="299" spans="1:6" ht="12.75">
      <c r="A299" s="24"/>
      <c r="B299" s="24"/>
      <c r="C299" s="24"/>
      <c r="D299" s="25"/>
      <c r="E299" s="26"/>
      <c r="F299" s="26"/>
    </row>
    <row r="300" spans="1:6" ht="12.75">
      <c r="A300" s="24"/>
      <c r="B300" s="24"/>
      <c r="C300" s="24"/>
      <c r="D300" s="25"/>
      <c r="E300" s="26"/>
      <c r="F300" s="26"/>
    </row>
    <row r="301" spans="1:6" ht="12.75">
      <c r="A301" s="24"/>
      <c r="B301" s="24"/>
      <c r="C301" s="24"/>
      <c r="D301" s="25"/>
      <c r="E301" s="26"/>
      <c r="F301" s="26"/>
    </row>
    <row r="302" spans="1:6" ht="12.75">
      <c r="A302" s="24"/>
      <c r="B302" s="24"/>
      <c r="C302" s="24"/>
      <c r="D302" s="25"/>
      <c r="E302" s="26"/>
      <c r="F302" s="26"/>
    </row>
    <row r="303" spans="1:6" ht="12.75">
      <c r="A303" s="24"/>
      <c r="B303" s="24"/>
      <c r="C303" s="24"/>
      <c r="D303" s="25"/>
      <c r="E303" s="26"/>
      <c r="F303" s="26"/>
    </row>
    <row r="304" spans="1:6" ht="12.75">
      <c r="A304" s="24"/>
      <c r="B304" s="24"/>
      <c r="C304" s="24"/>
      <c r="D304" s="25"/>
      <c r="E304" s="26"/>
      <c r="F304" s="26"/>
    </row>
    <row r="305" spans="1:6" ht="12.75">
      <c r="A305" s="24"/>
      <c r="B305" s="24"/>
      <c r="C305" s="24"/>
      <c r="D305" s="25"/>
      <c r="E305" s="26"/>
      <c r="F305" s="26"/>
    </row>
    <row r="306" spans="1:6" ht="12.75">
      <c r="A306" s="24"/>
      <c r="B306" s="24"/>
      <c r="C306" s="24"/>
      <c r="D306" s="25"/>
      <c r="E306" s="26"/>
      <c r="F306" s="26"/>
    </row>
    <row r="307" spans="1:6" ht="12.75">
      <c r="A307" s="24"/>
      <c r="B307" s="24"/>
      <c r="C307" s="24"/>
      <c r="D307" s="25"/>
      <c r="E307" s="26"/>
      <c r="F307" s="26"/>
    </row>
    <row r="308" spans="1:6" ht="12.75">
      <c r="A308" s="24"/>
      <c r="B308" s="24"/>
      <c r="C308" s="24"/>
      <c r="D308" s="25"/>
      <c r="E308" s="26"/>
      <c r="F308" s="26"/>
    </row>
    <row r="309" spans="1:6" ht="12.75">
      <c r="A309" s="24"/>
      <c r="B309" s="24"/>
      <c r="C309" s="24"/>
      <c r="D309" s="25"/>
      <c r="E309" s="26"/>
      <c r="F309" s="26"/>
    </row>
    <row r="310" spans="1:6" ht="12.75">
      <c r="A310" s="24"/>
      <c r="B310" s="24"/>
      <c r="C310" s="24"/>
      <c r="D310" s="25"/>
      <c r="E310" s="26"/>
      <c r="F310" s="26"/>
    </row>
    <row r="311" spans="1:6" ht="12.75">
      <c r="A311" s="24"/>
      <c r="B311" s="24"/>
      <c r="C311" s="24"/>
      <c r="D311" s="25"/>
      <c r="E311" s="26"/>
      <c r="F311" s="26"/>
    </row>
    <row r="312" spans="1:6" ht="12.75">
      <c r="A312" s="24"/>
      <c r="B312" s="24"/>
      <c r="C312" s="24"/>
      <c r="D312" s="25"/>
      <c r="E312" s="26"/>
      <c r="F312" s="26"/>
    </row>
    <row r="313" spans="1:6" ht="12.75">
      <c r="A313" s="24"/>
      <c r="B313" s="24"/>
      <c r="C313" s="24"/>
      <c r="D313" s="25"/>
      <c r="E313" s="26"/>
      <c r="F313" s="26"/>
    </row>
    <row r="314" spans="1:6" ht="12.75">
      <c r="A314" s="24"/>
      <c r="B314" s="24"/>
      <c r="C314" s="24"/>
      <c r="D314" s="25"/>
      <c r="E314" s="26"/>
      <c r="F314" s="26"/>
    </row>
    <row r="315" spans="1:6" ht="12.75">
      <c r="A315" s="24"/>
      <c r="B315" s="24"/>
      <c r="C315" s="24"/>
      <c r="D315" s="25"/>
      <c r="E315" s="26"/>
      <c r="F315" s="26"/>
    </row>
    <row r="316" spans="1:6" ht="12.75">
      <c r="A316" s="24"/>
      <c r="B316" s="24"/>
      <c r="C316" s="24"/>
      <c r="D316" s="25"/>
      <c r="E316" s="26"/>
      <c r="F316" s="26"/>
    </row>
    <row r="317" spans="1:6" ht="12.75">
      <c r="A317" s="24"/>
      <c r="B317" s="24"/>
      <c r="C317" s="24"/>
      <c r="D317" s="25"/>
      <c r="E317" s="26"/>
      <c r="F317" s="26"/>
    </row>
    <row r="318" spans="1:6" ht="12.75">
      <c r="A318" s="24"/>
      <c r="B318" s="24"/>
      <c r="C318" s="24"/>
      <c r="D318" s="25"/>
      <c r="E318" s="26"/>
      <c r="F318" s="26"/>
    </row>
    <row r="319" spans="1:6" ht="12.75">
      <c r="A319" s="24"/>
      <c r="B319" s="24"/>
      <c r="C319" s="24"/>
      <c r="D319" s="25"/>
      <c r="E319" s="26"/>
      <c r="F319" s="26"/>
    </row>
    <row r="320" spans="1:6" ht="12.75">
      <c r="A320" s="24"/>
      <c r="B320" s="24"/>
      <c r="C320" s="24"/>
      <c r="D320" s="25"/>
      <c r="E320" s="26"/>
      <c r="F320" s="26"/>
    </row>
    <row r="321" spans="1:6" ht="12.75">
      <c r="A321" s="24"/>
      <c r="B321" s="24"/>
      <c r="C321" s="24"/>
      <c r="D321" s="25"/>
      <c r="E321" s="26"/>
      <c r="F321" s="26"/>
    </row>
    <row r="322" spans="1:6" ht="12.75">
      <c r="A322" s="24"/>
      <c r="B322" s="24"/>
      <c r="C322" s="24"/>
      <c r="D322" s="25"/>
      <c r="E322" s="26"/>
      <c r="F322" s="26"/>
    </row>
    <row r="323" spans="1:6" ht="12.75">
      <c r="A323" s="24"/>
      <c r="B323" s="24"/>
      <c r="C323" s="24"/>
      <c r="D323" s="25"/>
      <c r="E323" s="26"/>
      <c r="F323" s="26"/>
    </row>
    <row r="324" spans="1:6" ht="12.75">
      <c r="A324" s="24"/>
      <c r="B324" s="24"/>
      <c r="C324" s="24"/>
      <c r="D324" s="25"/>
      <c r="E324" s="26"/>
      <c r="F324" s="26"/>
    </row>
    <row r="325" spans="1:6" ht="12.75">
      <c r="A325" s="24"/>
      <c r="B325" s="24"/>
      <c r="C325" s="24"/>
      <c r="D325" s="25"/>
      <c r="E325" s="26"/>
      <c r="F325" s="26"/>
    </row>
    <row r="326" spans="1:6" ht="12.75">
      <c r="A326" s="24"/>
      <c r="B326" s="24"/>
      <c r="C326" s="24"/>
      <c r="D326" s="25"/>
      <c r="E326" s="26"/>
      <c r="F326" s="26"/>
    </row>
    <row r="327" spans="1:6" ht="12.75">
      <c r="A327" s="24"/>
      <c r="B327" s="24"/>
      <c r="C327" s="24"/>
      <c r="D327" s="25"/>
      <c r="E327" s="26"/>
      <c r="F327" s="26"/>
    </row>
    <row r="328" spans="1:6" ht="12.75">
      <c r="A328" s="24"/>
      <c r="B328" s="24"/>
      <c r="C328" s="24"/>
      <c r="D328" s="25"/>
      <c r="E328" s="26"/>
      <c r="F328" s="26"/>
    </row>
    <row r="329" spans="1:6" ht="12.75">
      <c r="A329" s="24"/>
      <c r="B329" s="24"/>
      <c r="C329" s="24"/>
      <c r="D329" s="25"/>
      <c r="E329" s="26"/>
      <c r="F329" s="26"/>
    </row>
    <row r="330" spans="1:6" ht="12.75">
      <c r="A330" s="24"/>
      <c r="B330" s="24"/>
      <c r="C330" s="24"/>
      <c r="D330" s="25"/>
      <c r="E330" s="26"/>
      <c r="F330" s="26"/>
    </row>
    <row r="331" spans="1:6" ht="12.75">
      <c r="A331" s="24"/>
      <c r="B331" s="24"/>
      <c r="C331" s="24"/>
      <c r="D331" s="25"/>
      <c r="E331" s="26"/>
      <c r="F331" s="26"/>
    </row>
    <row r="332" spans="1:6" ht="12.75">
      <c r="A332" s="24"/>
      <c r="B332" s="24"/>
      <c r="C332" s="24"/>
      <c r="D332" s="25"/>
      <c r="E332" s="26"/>
      <c r="F332" s="26"/>
    </row>
    <row r="333" spans="1:6" ht="12.75">
      <c r="A333" s="24"/>
      <c r="B333" s="24"/>
      <c r="C333" s="24"/>
      <c r="D333" s="25"/>
      <c r="E333" s="26"/>
      <c r="F333" s="26"/>
    </row>
    <row r="334" spans="1:6" ht="12.75">
      <c r="A334" s="24"/>
      <c r="B334" s="24"/>
      <c r="C334" s="24"/>
      <c r="D334" s="25"/>
      <c r="E334" s="26"/>
      <c r="F334" s="26"/>
    </row>
    <row r="335" spans="1:6" ht="12.75">
      <c r="A335" s="24"/>
      <c r="B335" s="24"/>
      <c r="C335" s="24"/>
      <c r="D335" s="25"/>
      <c r="E335" s="26"/>
      <c r="F335" s="26"/>
    </row>
    <row r="336" spans="1:6" ht="12.75">
      <c r="A336" s="24"/>
      <c r="B336" s="24"/>
      <c r="C336" s="24"/>
      <c r="D336" s="25"/>
      <c r="E336" s="26"/>
      <c r="F336" s="26"/>
    </row>
    <row r="337" spans="1:6" ht="12.75">
      <c r="A337" s="24"/>
      <c r="B337" s="24"/>
      <c r="C337" s="24"/>
      <c r="D337" s="25"/>
      <c r="E337" s="26"/>
      <c r="F337" s="26"/>
    </row>
    <row r="338" spans="1:6" ht="12.75">
      <c r="A338" s="24"/>
      <c r="B338" s="24"/>
      <c r="C338" s="24"/>
      <c r="D338" s="25"/>
      <c r="E338" s="26"/>
      <c r="F338" s="26"/>
    </row>
    <row r="339" spans="1:6" ht="12.75">
      <c r="A339" s="24"/>
      <c r="B339" s="24"/>
      <c r="C339" s="24"/>
      <c r="D339" s="25"/>
      <c r="E339" s="26"/>
      <c r="F339" s="26"/>
    </row>
    <row r="340" spans="1:6" ht="12.75">
      <c r="A340" s="24"/>
      <c r="B340" s="24"/>
      <c r="C340" s="24"/>
      <c r="D340" s="25"/>
      <c r="E340" s="26"/>
      <c r="F340" s="26"/>
    </row>
    <row r="341" spans="1:6" ht="12.75">
      <c r="A341" s="24"/>
      <c r="B341" s="24"/>
      <c r="C341" s="24"/>
      <c r="D341" s="25"/>
      <c r="E341" s="26"/>
      <c r="F341" s="26"/>
    </row>
    <row r="342" spans="1:6" ht="12.75">
      <c r="A342" s="24"/>
      <c r="B342" s="24"/>
      <c r="C342" s="24"/>
      <c r="D342" s="25"/>
      <c r="E342" s="26"/>
      <c r="F342" s="26"/>
    </row>
    <row r="343" spans="1:6" ht="12.75">
      <c r="A343" s="24"/>
      <c r="B343" s="24"/>
      <c r="C343" s="24"/>
      <c r="D343" s="25"/>
      <c r="E343" s="26"/>
      <c r="F343" s="26"/>
    </row>
    <row r="344" spans="1:6" ht="12.75">
      <c r="A344" s="24"/>
      <c r="B344" s="24"/>
      <c r="C344" s="24"/>
      <c r="D344" s="25"/>
      <c r="E344" s="26"/>
      <c r="F344" s="26"/>
    </row>
    <row r="345" spans="1:6" ht="12.75">
      <c r="A345" s="24"/>
      <c r="B345" s="24"/>
      <c r="C345" s="24"/>
      <c r="D345" s="25"/>
      <c r="E345" s="26"/>
      <c r="F345" s="26"/>
    </row>
    <row r="346" spans="1:6" ht="12.75">
      <c r="A346" s="24"/>
      <c r="B346" s="24"/>
      <c r="C346" s="24"/>
      <c r="D346" s="25"/>
      <c r="E346" s="26"/>
      <c r="F346" s="26"/>
    </row>
    <row r="347" spans="1:6" ht="12.75">
      <c r="A347" s="24"/>
      <c r="B347" s="24"/>
      <c r="C347" s="24"/>
      <c r="D347" s="25"/>
      <c r="E347" s="26"/>
      <c r="F347" s="26"/>
    </row>
    <row r="348" spans="1:6" ht="12.75">
      <c r="A348" s="24"/>
      <c r="B348" s="24"/>
      <c r="C348" s="24"/>
      <c r="D348" s="25"/>
      <c r="E348" s="26"/>
      <c r="F348" s="26"/>
    </row>
    <row r="349" spans="1:6" ht="12.75">
      <c r="A349" s="24"/>
      <c r="B349" s="24"/>
      <c r="C349" s="24"/>
      <c r="D349" s="25"/>
      <c r="E349" s="26"/>
      <c r="F349" s="26"/>
    </row>
    <row r="350" spans="1:6" ht="12.75">
      <c r="A350" s="24"/>
      <c r="B350" s="24"/>
      <c r="C350" s="24"/>
      <c r="D350" s="25"/>
      <c r="E350" s="26"/>
      <c r="F350" s="26"/>
    </row>
    <row r="351" spans="1:6" ht="12.75">
      <c r="A351" s="24"/>
      <c r="B351" s="24"/>
      <c r="C351" s="24"/>
      <c r="D351" s="25"/>
      <c r="E351" s="26"/>
      <c r="F351" s="26"/>
    </row>
    <row r="352" spans="1:6" ht="12.75">
      <c r="A352" s="24"/>
      <c r="B352" s="24"/>
      <c r="C352" s="24"/>
      <c r="D352" s="25"/>
      <c r="E352" s="26"/>
      <c r="F352" s="26"/>
    </row>
    <row r="353" spans="1:6" ht="12.75">
      <c r="A353" s="24"/>
      <c r="B353" s="24"/>
      <c r="C353" s="24"/>
      <c r="D353" s="25"/>
      <c r="E353" s="26"/>
      <c r="F353" s="26"/>
    </row>
    <row r="354" spans="1:6" ht="12.75">
      <c r="A354" s="24"/>
      <c r="B354" s="24"/>
      <c r="C354" s="24"/>
      <c r="D354" s="25"/>
      <c r="E354" s="26"/>
      <c r="F354" s="26"/>
    </row>
    <row r="355" spans="1:6" ht="12.75">
      <c r="A355" s="24"/>
      <c r="B355" s="24"/>
      <c r="C355" s="24"/>
      <c r="D355" s="25"/>
      <c r="E355" s="26"/>
      <c r="F355" s="26"/>
    </row>
    <row r="356" spans="1:6" ht="12.75">
      <c r="A356" s="24"/>
      <c r="B356" s="24"/>
      <c r="C356" s="24"/>
      <c r="D356" s="25"/>
      <c r="E356" s="26"/>
      <c r="F356" s="26"/>
    </row>
    <row r="357" spans="1:6" ht="12.75">
      <c r="A357" s="24"/>
      <c r="B357" s="24"/>
      <c r="C357" s="24"/>
      <c r="D357" s="25"/>
      <c r="E357" s="26"/>
      <c r="F357" s="26"/>
    </row>
    <row r="358" spans="1:6" ht="12.75">
      <c r="A358" s="24"/>
      <c r="B358" s="24"/>
      <c r="C358" s="24"/>
      <c r="D358" s="25"/>
      <c r="E358" s="26"/>
      <c r="F358" s="26"/>
    </row>
    <row r="359" spans="1:6" ht="12.75">
      <c r="A359" s="24"/>
      <c r="B359" s="24"/>
      <c r="C359" s="24"/>
      <c r="D359" s="25"/>
      <c r="E359" s="26"/>
      <c r="F359" s="26"/>
    </row>
    <row r="360" spans="1:6" ht="12.75">
      <c r="A360" s="24"/>
      <c r="B360" s="24"/>
      <c r="C360" s="24"/>
      <c r="D360" s="25"/>
      <c r="E360" s="26"/>
      <c r="F360" s="26"/>
    </row>
    <row r="361" spans="1:6" ht="12.75">
      <c r="A361" s="24"/>
      <c r="B361" s="24"/>
      <c r="C361" s="24"/>
      <c r="D361" s="25"/>
      <c r="E361" s="26"/>
      <c r="F361" s="26"/>
    </row>
    <row r="362" spans="1:6" ht="12.75">
      <c r="A362" s="24"/>
      <c r="B362" s="24"/>
      <c r="C362" s="24"/>
      <c r="D362" s="25"/>
      <c r="E362" s="26"/>
      <c r="F362" s="26"/>
    </row>
    <row r="363" spans="1:6" ht="12.75">
      <c r="A363" s="24"/>
      <c r="B363" s="24"/>
      <c r="C363" s="24"/>
      <c r="D363" s="25"/>
      <c r="E363" s="26"/>
      <c r="F363" s="26"/>
    </row>
    <row r="364" spans="1:6" ht="12.75">
      <c r="A364" s="24"/>
      <c r="B364" s="24"/>
      <c r="C364" s="24"/>
      <c r="D364" s="25"/>
      <c r="E364" s="26"/>
      <c r="F364" s="26"/>
    </row>
    <row r="365" spans="1:6" ht="12.75">
      <c r="A365" s="24"/>
      <c r="B365" s="24"/>
      <c r="C365" s="24"/>
      <c r="D365" s="25"/>
      <c r="E365" s="26"/>
      <c r="F365" s="26"/>
    </row>
    <row r="366" spans="1:6" ht="12.75">
      <c r="A366" s="24"/>
      <c r="B366" s="24"/>
      <c r="C366" s="24"/>
      <c r="D366" s="25"/>
      <c r="E366" s="26"/>
      <c r="F366" s="26"/>
    </row>
    <row r="367" spans="1:6" ht="12.75">
      <c r="A367" s="24"/>
      <c r="B367" s="24"/>
      <c r="C367" s="24"/>
      <c r="D367" s="25"/>
      <c r="E367" s="26"/>
      <c r="F367" s="26"/>
    </row>
    <row r="368" spans="1:6" ht="12.75">
      <c r="A368" s="24"/>
      <c r="B368" s="24"/>
      <c r="C368" s="24"/>
      <c r="D368" s="25"/>
      <c r="E368" s="26"/>
      <c r="F368" s="26"/>
    </row>
    <row r="369" spans="1:6" ht="12.75">
      <c r="A369" s="24"/>
      <c r="B369" s="24"/>
      <c r="C369" s="24"/>
      <c r="D369" s="25"/>
      <c r="E369" s="26"/>
      <c r="F369" s="26"/>
    </row>
    <row r="370" spans="1:6" ht="12.75">
      <c r="A370" s="24"/>
      <c r="B370" s="24"/>
      <c r="C370" s="24"/>
      <c r="D370" s="25"/>
      <c r="E370" s="26"/>
      <c r="F370" s="26"/>
    </row>
    <row r="371" spans="1:6" ht="12.75">
      <c r="A371" s="24"/>
      <c r="B371" s="24"/>
      <c r="C371" s="24"/>
      <c r="D371" s="25"/>
      <c r="E371" s="26"/>
      <c r="F371" s="26"/>
    </row>
    <row r="372" spans="1:6" ht="12.75">
      <c r="A372" s="24"/>
      <c r="B372" s="24"/>
      <c r="C372" s="24"/>
      <c r="D372" s="25"/>
      <c r="E372" s="26"/>
      <c r="F372" s="26"/>
    </row>
    <row r="373" spans="1:6" ht="12.75">
      <c r="A373" s="24"/>
      <c r="B373" s="24"/>
      <c r="C373" s="24"/>
      <c r="D373" s="25"/>
      <c r="E373" s="26"/>
      <c r="F373" s="26"/>
    </row>
    <row r="374" spans="1:6" ht="12.75">
      <c r="A374" s="24"/>
      <c r="B374" s="24"/>
      <c r="C374" s="24"/>
      <c r="D374" s="25"/>
      <c r="E374" s="26"/>
      <c r="F374" s="26"/>
    </row>
    <row r="375" spans="1:6" ht="12.75">
      <c r="A375" s="24"/>
      <c r="B375" s="24"/>
      <c r="C375" s="24"/>
      <c r="D375" s="25"/>
      <c r="E375" s="26"/>
      <c r="F375" s="26"/>
    </row>
    <row r="376" spans="1:6" ht="12.75">
      <c r="A376" s="24"/>
      <c r="B376" s="24"/>
      <c r="C376" s="24"/>
      <c r="D376" s="25"/>
      <c r="E376" s="26"/>
      <c r="F376" s="26"/>
    </row>
    <row r="377" spans="1:6" ht="12.75">
      <c r="A377" s="24"/>
      <c r="B377" s="24"/>
      <c r="C377" s="24"/>
      <c r="D377" s="25"/>
      <c r="E377" s="26"/>
      <c r="F377" s="26"/>
    </row>
    <row r="378" spans="1:6" ht="12.75">
      <c r="A378" s="24"/>
      <c r="B378" s="24"/>
      <c r="C378" s="24"/>
      <c r="D378" s="25"/>
      <c r="E378" s="26"/>
      <c r="F378" s="26"/>
    </row>
    <row r="379" spans="1:6" ht="12.75">
      <c r="A379" s="24"/>
      <c r="B379" s="24"/>
      <c r="C379" s="24"/>
      <c r="D379" s="25"/>
      <c r="E379" s="26"/>
      <c r="F379" s="26"/>
    </row>
    <row r="380" spans="1:6" ht="12.75">
      <c r="A380" s="24"/>
      <c r="B380" s="24"/>
      <c r="C380" s="24"/>
      <c r="D380" s="25"/>
      <c r="E380" s="26"/>
      <c r="F380" s="26"/>
    </row>
    <row r="381" spans="1:6" ht="12.75">
      <c r="A381" s="24"/>
      <c r="B381" s="24"/>
      <c r="C381" s="24"/>
      <c r="D381" s="25"/>
      <c r="E381" s="26"/>
      <c r="F381" s="26"/>
    </row>
    <row r="382" spans="1:6" ht="12.75">
      <c r="A382" s="24"/>
      <c r="B382" s="24"/>
      <c r="C382" s="24"/>
      <c r="D382" s="25"/>
      <c r="E382" s="26"/>
      <c r="F382" s="26"/>
    </row>
    <row r="383" spans="1:6" ht="12.75">
      <c r="A383" s="24"/>
      <c r="B383" s="24"/>
      <c r="C383" s="24"/>
      <c r="D383" s="25"/>
      <c r="E383" s="26"/>
      <c r="F383" s="26"/>
    </row>
    <row r="384" spans="1:6" ht="12.75">
      <c r="A384" s="24"/>
      <c r="B384" s="24"/>
      <c r="C384" s="24"/>
      <c r="D384" s="25"/>
      <c r="E384" s="26"/>
      <c r="F384" s="26"/>
    </row>
    <row r="385" spans="1:6" ht="12.75">
      <c r="A385" s="24"/>
      <c r="B385" s="24"/>
      <c r="C385" s="24"/>
      <c r="D385" s="25"/>
      <c r="E385" s="26"/>
      <c r="F385" s="26"/>
    </row>
    <row r="386" spans="1:6" ht="12.75">
      <c r="A386" s="24"/>
      <c r="B386" s="24"/>
      <c r="C386" s="24"/>
      <c r="D386" s="25"/>
      <c r="E386" s="26"/>
      <c r="F386" s="26"/>
    </row>
    <row r="387" spans="1:6" ht="12.75">
      <c r="A387" s="24"/>
      <c r="B387" s="24"/>
      <c r="C387" s="24"/>
      <c r="D387" s="25"/>
      <c r="E387" s="26"/>
      <c r="F387" s="26"/>
    </row>
    <row r="388" spans="1:6" ht="12.75">
      <c r="A388" s="24"/>
      <c r="B388" s="24"/>
      <c r="C388" s="24"/>
      <c r="D388" s="25"/>
      <c r="E388" s="26"/>
      <c r="F388" s="26"/>
    </row>
    <row r="389" spans="1:6" ht="12.75">
      <c r="A389" s="24"/>
      <c r="B389" s="24"/>
      <c r="C389" s="24"/>
      <c r="D389" s="25"/>
      <c r="E389" s="26"/>
      <c r="F389" s="26"/>
    </row>
    <row r="390" spans="1:6" ht="12.75">
      <c r="A390" s="24"/>
      <c r="B390" s="24"/>
      <c r="C390" s="24"/>
      <c r="D390" s="25"/>
      <c r="E390" s="26"/>
      <c r="F390" s="26"/>
    </row>
    <row r="391" spans="1:6" ht="12.75">
      <c r="A391" s="24"/>
      <c r="B391" s="24"/>
      <c r="C391" s="24"/>
      <c r="D391" s="25"/>
      <c r="E391" s="26"/>
      <c r="F391" s="26"/>
    </row>
    <row r="392" spans="1:6" ht="12.75">
      <c r="A392" s="24"/>
      <c r="B392" s="24"/>
      <c r="C392" s="24"/>
      <c r="D392" s="25"/>
      <c r="E392" s="26"/>
      <c r="F392" s="26"/>
    </row>
    <row r="393" spans="1:6" ht="12.75">
      <c r="A393" s="24"/>
      <c r="B393" s="24"/>
      <c r="C393" s="24"/>
      <c r="D393" s="25"/>
      <c r="E393" s="26"/>
      <c r="F393" s="26"/>
    </row>
    <row r="394" spans="1:6" ht="12.75">
      <c r="A394" s="24"/>
      <c r="B394" s="24"/>
      <c r="C394" s="24"/>
      <c r="D394" s="25"/>
      <c r="E394" s="26"/>
      <c r="F394" s="26"/>
    </row>
    <row r="395" spans="1:6" ht="12.75">
      <c r="A395" s="24"/>
      <c r="B395" s="24"/>
      <c r="C395" s="24"/>
      <c r="D395" s="25"/>
      <c r="E395" s="26"/>
      <c r="F395" s="26"/>
    </row>
    <row r="396" spans="1:6" ht="12.75">
      <c r="A396" s="24"/>
      <c r="B396" s="24"/>
      <c r="C396" s="24"/>
      <c r="D396" s="25"/>
      <c r="E396" s="26"/>
      <c r="F396" s="26"/>
    </row>
    <row r="397" spans="1:6" ht="12.75">
      <c r="A397" s="24"/>
      <c r="B397" s="24"/>
      <c r="C397" s="24"/>
      <c r="D397" s="25"/>
      <c r="E397" s="26"/>
      <c r="F397" s="26"/>
    </row>
    <row r="398" spans="1:6" ht="12.75">
      <c r="A398" s="24"/>
      <c r="B398" s="24"/>
      <c r="C398" s="24"/>
      <c r="D398" s="25"/>
      <c r="E398" s="26"/>
      <c r="F398" s="26"/>
    </row>
    <row r="399" spans="1:6" ht="12.75">
      <c r="A399" s="24"/>
      <c r="B399" s="24"/>
      <c r="C399" s="24"/>
      <c r="D399" s="25"/>
      <c r="E399" s="26"/>
      <c r="F399" s="26"/>
    </row>
    <row r="400" spans="1:6" ht="12.75">
      <c r="A400" s="24"/>
      <c r="B400" s="24"/>
      <c r="C400" s="24"/>
      <c r="D400" s="25"/>
      <c r="E400" s="26"/>
      <c r="F400" s="26"/>
    </row>
    <row r="401" spans="1:6" ht="12.75">
      <c r="A401" s="24"/>
      <c r="B401" s="24"/>
      <c r="C401" s="24"/>
      <c r="D401" s="25"/>
      <c r="E401" s="26"/>
      <c r="F401" s="26"/>
    </row>
    <row r="402" spans="1:6" ht="12.75">
      <c r="A402" s="24"/>
      <c r="B402" s="24"/>
      <c r="C402" s="24"/>
      <c r="D402" s="25"/>
      <c r="E402" s="26"/>
      <c r="F402" s="26"/>
    </row>
    <row r="403" spans="1:6" ht="12.75">
      <c r="A403" s="24"/>
      <c r="B403" s="24"/>
      <c r="C403" s="24"/>
      <c r="D403" s="25"/>
      <c r="E403" s="26"/>
      <c r="F403" s="26"/>
    </row>
    <row r="404" spans="1:6" ht="12.75">
      <c r="A404" s="24"/>
      <c r="B404" s="24"/>
      <c r="C404" s="24"/>
      <c r="D404" s="25"/>
      <c r="E404" s="26"/>
      <c r="F404" s="26"/>
    </row>
    <row r="405" spans="1:6" ht="12.75">
      <c r="A405" s="24"/>
      <c r="B405" s="24"/>
      <c r="C405" s="24"/>
      <c r="D405" s="25"/>
      <c r="E405" s="26"/>
      <c r="F405" s="26"/>
    </row>
    <row r="406" spans="1:6" ht="12.75">
      <c r="A406" s="24"/>
      <c r="B406" s="24"/>
      <c r="C406" s="24"/>
      <c r="D406" s="25"/>
      <c r="E406" s="26"/>
      <c r="F406" s="26"/>
    </row>
    <row r="407" spans="1:6" ht="12.75">
      <c r="A407" s="24"/>
      <c r="B407" s="24"/>
      <c r="C407" s="24"/>
      <c r="D407" s="25"/>
      <c r="E407" s="26"/>
      <c r="F407" s="26"/>
    </row>
    <row r="408" spans="1:6" ht="12.75">
      <c r="A408" s="24"/>
      <c r="B408" s="24"/>
      <c r="C408" s="24"/>
      <c r="D408" s="25"/>
      <c r="E408" s="26"/>
      <c r="F408" s="26"/>
    </row>
    <row r="409" spans="1:6" ht="12.75">
      <c r="A409" s="24"/>
      <c r="B409" s="24"/>
      <c r="C409" s="24"/>
      <c r="D409" s="25"/>
      <c r="E409" s="26"/>
      <c r="F409" s="26"/>
    </row>
    <row r="410" spans="1:6" ht="12.75">
      <c r="A410" s="24"/>
      <c r="B410" s="24"/>
      <c r="C410" s="24"/>
      <c r="D410" s="25"/>
      <c r="E410" s="26"/>
      <c r="F410" s="26"/>
    </row>
    <row r="411" spans="1:6" ht="12.75">
      <c r="A411" s="24"/>
      <c r="B411" s="24"/>
      <c r="C411" s="24"/>
      <c r="D411" s="25"/>
      <c r="E411" s="26"/>
      <c r="F411" s="26"/>
    </row>
    <row r="412" spans="1:6" ht="12.75">
      <c r="A412" s="24"/>
      <c r="B412" s="24"/>
      <c r="C412" s="24"/>
      <c r="D412" s="25"/>
      <c r="E412" s="26"/>
      <c r="F412" s="26"/>
    </row>
    <row r="413" spans="1:6" ht="12.75">
      <c r="A413" s="24"/>
      <c r="B413" s="24"/>
      <c r="C413" s="24"/>
      <c r="D413" s="25"/>
      <c r="E413" s="26"/>
      <c r="F413" s="26"/>
    </row>
    <row r="414" spans="1:6" ht="12.75">
      <c r="A414" s="24"/>
      <c r="B414" s="24"/>
      <c r="C414" s="24"/>
      <c r="D414" s="25"/>
      <c r="E414" s="26"/>
      <c r="F414" s="26"/>
    </row>
    <row r="415" spans="1:6" ht="12.75">
      <c r="A415" s="24"/>
      <c r="B415" s="24"/>
      <c r="C415" s="24"/>
      <c r="D415" s="25"/>
      <c r="E415" s="26"/>
      <c r="F415" s="26"/>
    </row>
    <row r="416" spans="1:6" ht="12.75">
      <c r="A416" s="24"/>
      <c r="B416" s="24"/>
      <c r="C416" s="24"/>
      <c r="D416" s="25"/>
      <c r="E416" s="26"/>
      <c r="F416" s="26"/>
    </row>
    <row r="417" spans="1:6" ht="12.75">
      <c r="A417" s="24"/>
      <c r="B417" s="24"/>
      <c r="C417" s="24"/>
      <c r="D417" s="25"/>
      <c r="E417" s="26"/>
      <c r="F417" s="26"/>
    </row>
    <row r="418" spans="1:6" ht="12.75">
      <c r="A418" s="24"/>
      <c r="B418" s="24"/>
      <c r="C418" s="24"/>
      <c r="D418" s="25"/>
      <c r="E418" s="26"/>
      <c r="F418" s="26"/>
    </row>
    <row r="419" spans="1:6" ht="12.75">
      <c r="A419" s="24"/>
      <c r="B419" s="24"/>
      <c r="C419" s="24"/>
      <c r="D419" s="25"/>
      <c r="E419" s="26"/>
      <c r="F419" s="26"/>
    </row>
    <row r="420" spans="1:6" ht="12.75">
      <c r="A420" s="24"/>
      <c r="B420" s="24"/>
      <c r="C420" s="24"/>
      <c r="D420" s="25"/>
      <c r="E420" s="26"/>
      <c r="F420" s="26"/>
    </row>
    <row r="421" spans="1:6" ht="12.75">
      <c r="A421" s="24"/>
      <c r="B421" s="24"/>
      <c r="C421" s="24"/>
      <c r="D421" s="25"/>
      <c r="E421" s="26"/>
      <c r="F421" s="26"/>
    </row>
    <row r="422" spans="1:6" ht="12.75">
      <c r="A422" s="24"/>
      <c r="B422" s="24"/>
      <c r="C422" s="24"/>
      <c r="D422" s="25"/>
      <c r="E422" s="26"/>
      <c r="F422" s="26"/>
    </row>
    <row r="423" spans="1:6" ht="12.75">
      <c r="A423" s="24"/>
      <c r="B423" s="24"/>
      <c r="C423" s="24"/>
      <c r="D423" s="25"/>
      <c r="E423" s="26"/>
      <c r="F423" s="26"/>
    </row>
    <row r="424" spans="1:6" ht="12.75">
      <c r="A424" s="24"/>
      <c r="B424" s="24"/>
      <c r="C424" s="24"/>
      <c r="D424" s="25"/>
      <c r="E424" s="26"/>
      <c r="F424" s="26"/>
    </row>
    <row r="425" spans="1:6" ht="12.75">
      <c r="A425" s="24"/>
      <c r="B425" s="24"/>
      <c r="C425" s="24"/>
      <c r="D425" s="25"/>
      <c r="E425" s="26"/>
      <c r="F425" s="26"/>
    </row>
    <row r="426" spans="1:6" ht="12.75">
      <c r="A426" s="24"/>
      <c r="B426" s="24"/>
      <c r="C426" s="24"/>
      <c r="D426" s="25"/>
      <c r="E426" s="26"/>
      <c r="F426" s="26"/>
    </row>
    <row r="427" spans="1:6" ht="12.75">
      <c r="A427" s="24"/>
      <c r="B427" s="24"/>
      <c r="C427" s="24"/>
      <c r="D427" s="25"/>
      <c r="E427" s="26"/>
      <c r="F427" s="26"/>
    </row>
    <row r="428" spans="1:6" ht="12.75">
      <c r="A428" s="24"/>
      <c r="B428" s="24"/>
      <c r="C428" s="24"/>
      <c r="D428" s="25"/>
      <c r="E428" s="26"/>
      <c r="F428" s="26"/>
    </row>
    <row r="429" spans="1:6" ht="12.75">
      <c r="A429" s="24"/>
      <c r="B429" s="24"/>
      <c r="C429" s="24"/>
      <c r="D429" s="25"/>
      <c r="E429" s="26"/>
      <c r="F429" s="26"/>
    </row>
    <row r="430" spans="1:6" ht="12.75">
      <c r="A430" s="24"/>
      <c r="B430" s="24"/>
      <c r="C430" s="24"/>
      <c r="D430" s="25"/>
      <c r="E430" s="26"/>
      <c r="F430" s="26"/>
    </row>
    <row r="431" spans="1:6" ht="12.75">
      <c r="A431" s="24"/>
      <c r="B431" s="24"/>
      <c r="C431" s="24"/>
      <c r="D431" s="25"/>
      <c r="E431" s="26"/>
      <c r="F431" s="26"/>
    </row>
    <row r="432" spans="1:6" ht="12.75">
      <c r="A432" s="24"/>
      <c r="B432" s="24"/>
      <c r="C432" s="24"/>
      <c r="D432" s="25"/>
      <c r="E432" s="26"/>
      <c r="F432" s="26"/>
    </row>
    <row r="433" spans="1:6" ht="12.75">
      <c r="A433" s="24"/>
      <c r="B433" s="24"/>
      <c r="C433" s="24"/>
      <c r="D433" s="25"/>
      <c r="E433" s="26"/>
      <c r="F433" s="26"/>
    </row>
    <row r="434" spans="1:6" ht="12.75">
      <c r="A434" s="24"/>
      <c r="B434" s="24"/>
      <c r="C434" s="24"/>
      <c r="D434" s="25"/>
      <c r="E434" s="26"/>
      <c r="F434" s="26"/>
    </row>
    <row r="435" spans="1:6" ht="12.75">
      <c r="A435" s="24"/>
      <c r="B435" s="24"/>
      <c r="C435" s="24"/>
      <c r="D435" s="25"/>
      <c r="E435" s="26"/>
      <c r="F435" s="26"/>
    </row>
    <row r="436" spans="1:6" ht="12.75">
      <c r="A436" s="24"/>
      <c r="B436" s="24"/>
      <c r="C436" s="24"/>
      <c r="D436" s="25"/>
      <c r="E436" s="26"/>
      <c r="F436" s="26"/>
    </row>
    <row r="437" spans="1:6" ht="12.75">
      <c r="A437" s="24"/>
      <c r="B437" s="24"/>
      <c r="C437" s="24"/>
      <c r="D437" s="25"/>
      <c r="E437" s="26"/>
      <c r="F437" s="26"/>
    </row>
    <row r="438" spans="1:6" ht="12.75">
      <c r="A438" s="24"/>
      <c r="B438" s="24"/>
      <c r="C438" s="24"/>
      <c r="D438" s="25"/>
      <c r="E438" s="26"/>
      <c r="F438" s="26"/>
    </row>
    <row r="439" spans="1:6" ht="12.75">
      <c r="A439" s="24"/>
      <c r="B439" s="24"/>
      <c r="C439" s="24"/>
      <c r="D439" s="25"/>
      <c r="E439" s="26"/>
      <c r="F439" s="26"/>
    </row>
    <row r="440" spans="1:6" ht="12.75">
      <c r="A440" s="24"/>
      <c r="B440" s="24"/>
      <c r="C440" s="24"/>
      <c r="D440" s="25"/>
      <c r="E440" s="26"/>
      <c r="F440" s="26"/>
    </row>
    <row r="441" spans="1:6" ht="12.75">
      <c r="A441" s="24"/>
      <c r="B441" s="24"/>
      <c r="C441" s="24"/>
      <c r="D441" s="25"/>
      <c r="E441" s="26"/>
      <c r="F441" s="26"/>
    </row>
    <row r="442" spans="1:6" ht="12.75">
      <c r="A442" s="24"/>
      <c r="B442" s="24"/>
      <c r="C442" s="24"/>
      <c r="D442" s="25"/>
      <c r="E442" s="26"/>
      <c r="F442" s="26"/>
    </row>
    <row r="443" spans="1:6" ht="12.75">
      <c r="A443" s="24"/>
      <c r="B443" s="24"/>
      <c r="C443" s="24"/>
      <c r="D443" s="25"/>
      <c r="E443" s="26"/>
      <c r="F443" s="26"/>
    </row>
    <row r="444" spans="1:6" ht="12.75">
      <c r="A444" s="24"/>
      <c r="B444" s="24"/>
      <c r="C444" s="24"/>
      <c r="D444" s="25"/>
      <c r="E444" s="26"/>
      <c r="F444" s="26"/>
    </row>
    <row r="445" spans="1:6" ht="12.75">
      <c r="A445" s="24"/>
      <c r="B445" s="24"/>
      <c r="C445" s="24"/>
      <c r="D445" s="25"/>
      <c r="E445" s="26"/>
      <c r="F445" s="26"/>
    </row>
    <row r="446" spans="1:6" ht="12.75">
      <c r="A446" s="24"/>
      <c r="B446" s="24"/>
      <c r="C446" s="24"/>
      <c r="D446" s="25"/>
      <c r="E446" s="26"/>
      <c r="F446" s="26"/>
    </row>
    <row r="447" spans="1:6" ht="12.75">
      <c r="A447" s="24"/>
      <c r="B447" s="24"/>
      <c r="C447" s="24"/>
      <c r="D447" s="25"/>
      <c r="E447" s="26"/>
      <c r="F447" s="26"/>
    </row>
    <row r="448" spans="1:6" ht="12.75">
      <c r="A448" s="24"/>
      <c r="B448" s="24"/>
      <c r="C448" s="24"/>
      <c r="D448" s="25"/>
      <c r="E448" s="26"/>
      <c r="F448" s="26"/>
    </row>
    <row r="449" spans="1:6" ht="12.75">
      <c r="A449" s="24"/>
      <c r="B449" s="24"/>
      <c r="C449" s="24"/>
      <c r="D449" s="25"/>
      <c r="E449" s="26"/>
      <c r="F449" s="26"/>
    </row>
    <row r="450" spans="1:6" ht="12.75">
      <c r="A450" s="24"/>
      <c r="B450" s="24"/>
      <c r="C450" s="24"/>
      <c r="D450" s="25"/>
      <c r="E450" s="26"/>
      <c r="F450" s="26"/>
    </row>
    <row r="451" spans="1:6" ht="12.75">
      <c r="A451" s="24"/>
      <c r="B451" s="24"/>
      <c r="C451" s="24"/>
      <c r="D451" s="25"/>
      <c r="E451" s="26"/>
      <c r="F451" s="26"/>
    </row>
    <row r="452" spans="1:6" ht="12.75">
      <c r="A452" s="24"/>
      <c r="B452" s="24"/>
      <c r="C452" s="24"/>
      <c r="D452" s="25"/>
      <c r="E452" s="26"/>
      <c r="F452" s="26"/>
    </row>
    <row r="453" spans="1:6" ht="12.75">
      <c r="A453" s="24"/>
      <c r="B453" s="24"/>
      <c r="C453" s="24"/>
      <c r="D453" s="25"/>
      <c r="E453" s="26"/>
      <c r="F453" s="26"/>
    </row>
    <row r="454" spans="1:6" ht="12.75">
      <c r="A454" s="24"/>
      <c r="B454" s="24"/>
      <c r="C454" s="24"/>
      <c r="D454" s="25"/>
      <c r="E454" s="26"/>
      <c r="F454" s="26"/>
    </row>
    <row r="455" spans="1:6" ht="12.75">
      <c r="A455" s="24"/>
      <c r="B455" s="24"/>
      <c r="C455" s="24"/>
      <c r="D455" s="25"/>
      <c r="E455" s="26"/>
      <c r="F455" s="26"/>
    </row>
    <row r="456" spans="1:6" ht="12.75">
      <c r="A456" s="24"/>
      <c r="B456" s="24"/>
      <c r="C456" s="24"/>
      <c r="D456" s="25"/>
      <c r="E456" s="26"/>
      <c r="F456" s="26"/>
    </row>
    <row r="457" spans="1:6" ht="12.75">
      <c r="A457" s="24"/>
      <c r="B457" s="24"/>
      <c r="C457" s="24"/>
      <c r="D457" s="25"/>
      <c r="E457" s="26"/>
      <c r="F457" s="26"/>
    </row>
    <row r="458" spans="1:6" ht="12.75">
      <c r="A458" s="24"/>
      <c r="B458" s="24"/>
      <c r="C458" s="24"/>
      <c r="D458" s="25"/>
      <c r="E458" s="26"/>
      <c r="F458" s="26"/>
    </row>
    <row r="459" spans="1:6" ht="12.75">
      <c r="A459" s="24"/>
      <c r="B459" s="24"/>
      <c r="C459" s="24"/>
      <c r="D459" s="25"/>
      <c r="E459" s="26"/>
      <c r="F459" s="26"/>
    </row>
    <row r="460" spans="1:6" ht="12.75">
      <c r="A460" s="24"/>
      <c r="B460" s="24"/>
      <c r="C460" s="24"/>
      <c r="D460" s="25"/>
      <c r="E460" s="26"/>
      <c r="F460" s="26"/>
    </row>
    <row r="461" spans="1:6" ht="12.75">
      <c r="A461" s="24"/>
      <c r="B461" s="24"/>
      <c r="C461" s="24"/>
      <c r="D461" s="25"/>
      <c r="E461" s="26"/>
      <c r="F461" s="26"/>
    </row>
    <row r="462" spans="1:6" ht="12.75">
      <c r="A462" s="24"/>
      <c r="B462" s="24"/>
      <c r="C462" s="24"/>
      <c r="D462" s="25"/>
      <c r="E462" s="26"/>
      <c r="F462" s="26"/>
    </row>
    <row r="463" spans="1:6" ht="12.75">
      <c r="A463" s="24"/>
      <c r="B463" s="24"/>
      <c r="C463" s="24"/>
      <c r="D463" s="25"/>
      <c r="E463" s="26"/>
      <c r="F463" s="26"/>
    </row>
    <row r="464" spans="1:6" ht="12.75">
      <c r="A464" s="24"/>
      <c r="B464" s="24"/>
      <c r="C464" s="24"/>
      <c r="D464" s="25"/>
      <c r="E464" s="26"/>
      <c r="F464" s="26"/>
    </row>
    <row r="465" spans="1:6" ht="12.75">
      <c r="A465" s="24"/>
      <c r="B465" s="24"/>
      <c r="C465" s="24"/>
      <c r="D465" s="25"/>
      <c r="E465" s="26"/>
      <c r="F465" s="26"/>
    </row>
    <row r="466" spans="1:6" ht="12.75">
      <c r="A466" s="24"/>
      <c r="B466" s="24"/>
      <c r="C466" s="24"/>
      <c r="D466" s="25"/>
      <c r="E466" s="26"/>
      <c r="F466" s="26"/>
    </row>
    <row r="467" spans="1:6" ht="12.75">
      <c r="A467" s="24"/>
      <c r="B467" s="24"/>
      <c r="C467" s="24"/>
      <c r="D467" s="25"/>
      <c r="E467" s="26"/>
      <c r="F467" s="26"/>
    </row>
    <row r="468" spans="1:6" ht="12.75">
      <c r="A468" s="24"/>
      <c r="B468" s="24"/>
      <c r="C468" s="24"/>
      <c r="D468" s="25"/>
      <c r="E468" s="26"/>
      <c r="F468" s="26"/>
    </row>
    <row r="469" spans="1:6" ht="12.75">
      <c r="A469" s="24"/>
      <c r="B469" s="24"/>
      <c r="C469" s="24"/>
      <c r="D469" s="25"/>
      <c r="E469" s="26"/>
      <c r="F469" s="26"/>
    </row>
    <row r="470" spans="1:6" ht="12.75">
      <c r="A470" s="24"/>
      <c r="B470" s="24"/>
      <c r="C470" s="24"/>
      <c r="D470" s="25"/>
      <c r="E470" s="26"/>
      <c r="F470" s="26"/>
    </row>
    <row r="471" spans="1:6" ht="12.75">
      <c r="A471" s="24"/>
      <c r="B471" s="24"/>
      <c r="C471" s="24"/>
      <c r="D471" s="25"/>
      <c r="E471" s="26"/>
      <c r="F471" s="26"/>
    </row>
    <row r="472" spans="1:6" ht="12.75">
      <c r="A472" s="24"/>
      <c r="B472" s="24"/>
      <c r="C472" s="24"/>
      <c r="D472" s="25"/>
      <c r="E472" s="26"/>
      <c r="F472" s="26"/>
    </row>
    <row r="473" spans="1:6" ht="12.75">
      <c r="A473" s="24"/>
      <c r="B473" s="24"/>
      <c r="C473" s="24"/>
      <c r="D473" s="25"/>
      <c r="E473" s="26"/>
      <c r="F473" s="26"/>
    </row>
    <row r="474" spans="1:6" ht="12.75">
      <c r="A474" s="24"/>
      <c r="B474" s="24"/>
      <c r="C474" s="24"/>
      <c r="D474" s="25"/>
      <c r="E474" s="26"/>
      <c r="F474" s="26"/>
    </row>
    <row r="475" spans="1:6" ht="12.75">
      <c r="A475" s="24"/>
      <c r="B475" s="24"/>
      <c r="C475" s="24"/>
      <c r="D475" s="25"/>
      <c r="E475" s="26"/>
      <c r="F475" s="26"/>
    </row>
    <row r="476" spans="1:6" ht="12.75">
      <c r="A476" s="24"/>
      <c r="B476" s="24"/>
      <c r="C476" s="24"/>
      <c r="D476" s="25"/>
      <c r="E476" s="26"/>
      <c r="F476" s="26"/>
    </row>
    <row r="477" spans="1:6" ht="12.75">
      <c r="A477" s="24"/>
      <c r="B477" s="24"/>
      <c r="C477" s="24"/>
      <c r="D477" s="25"/>
      <c r="E477" s="26"/>
      <c r="F477" s="26"/>
    </row>
    <row r="478" spans="1:6" ht="12.75">
      <c r="A478" s="24"/>
      <c r="B478" s="24"/>
      <c r="C478" s="24"/>
      <c r="D478" s="25"/>
      <c r="E478" s="26"/>
      <c r="F478" s="26"/>
    </row>
    <row r="479" spans="1:6" ht="12.75">
      <c r="A479" s="24"/>
      <c r="B479" s="24"/>
      <c r="C479" s="24"/>
      <c r="D479" s="25"/>
      <c r="E479" s="26"/>
      <c r="F479" s="26"/>
    </row>
    <row r="480" spans="1:6" ht="12.75">
      <c r="A480" s="24"/>
      <c r="B480" s="24"/>
      <c r="C480" s="24"/>
      <c r="D480" s="25"/>
      <c r="E480" s="26"/>
      <c r="F480" s="26"/>
    </row>
    <row r="481" spans="1:6" ht="12.75">
      <c r="A481" s="24"/>
      <c r="B481" s="24"/>
      <c r="C481" s="24"/>
      <c r="D481" s="25"/>
      <c r="E481" s="26"/>
      <c r="F481" s="26"/>
    </row>
    <row r="482" spans="1:6" ht="12.75">
      <c r="A482" s="24"/>
      <c r="B482" s="24"/>
      <c r="C482" s="24"/>
      <c r="D482" s="25"/>
      <c r="E482" s="26"/>
      <c r="F482" s="26"/>
    </row>
    <row r="483" spans="1:6" ht="12.75">
      <c r="A483" s="24"/>
      <c r="B483" s="24"/>
      <c r="C483" s="24"/>
      <c r="D483" s="25"/>
      <c r="E483" s="26"/>
      <c r="F483" s="26"/>
    </row>
    <row r="484" spans="1:6" ht="12.75">
      <c r="A484" s="24"/>
      <c r="B484" s="24"/>
      <c r="C484" s="24"/>
      <c r="D484" s="25"/>
      <c r="E484" s="26"/>
      <c r="F484" s="26"/>
    </row>
    <row r="485" spans="1:6" ht="12.75">
      <c r="A485" s="24"/>
      <c r="B485" s="24"/>
      <c r="C485" s="24"/>
      <c r="D485" s="25"/>
      <c r="E485" s="26"/>
      <c r="F485" s="26"/>
    </row>
    <row r="486" spans="1:6" ht="12.75">
      <c r="A486" s="24"/>
      <c r="B486" s="24"/>
      <c r="C486" s="24"/>
      <c r="D486" s="25"/>
      <c r="E486" s="26"/>
      <c r="F486" s="26"/>
    </row>
    <row r="487" spans="1:6" ht="12.75">
      <c r="A487" s="24"/>
      <c r="B487" s="24"/>
      <c r="C487" s="24"/>
      <c r="D487" s="25"/>
      <c r="E487" s="26"/>
      <c r="F487" s="26"/>
    </row>
    <row r="488" spans="1:6" ht="12.75">
      <c r="A488" s="24"/>
      <c r="B488" s="24"/>
      <c r="C488" s="24"/>
      <c r="D488" s="25"/>
      <c r="E488" s="26"/>
      <c r="F488" s="26"/>
    </row>
    <row r="489" spans="1:6" ht="12.75">
      <c r="A489" s="24"/>
      <c r="B489" s="24"/>
      <c r="C489" s="24"/>
      <c r="D489" s="25"/>
      <c r="E489" s="26"/>
      <c r="F489" s="26"/>
    </row>
    <row r="490" spans="1:6" ht="12.75">
      <c r="A490" s="24"/>
      <c r="B490" s="24"/>
      <c r="C490" s="24"/>
      <c r="D490" s="25"/>
      <c r="E490" s="26"/>
      <c r="F490" s="26"/>
    </row>
    <row r="491" spans="1:6" ht="12.75">
      <c r="A491" s="24"/>
      <c r="B491" s="24"/>
      <c r="C491" s="24"/>
      <c r="D491" s="25"/>
      <c r="E491" s="26"/>
      <c r="F491" s="26"/>
    </row>
    <row r="492" spans="1:6" ht="12.75">
      <c r="A492" s="24"/>
      <c r="B492" s="24"/>
      <c r="C492" s="24"/>
      <c r="D492" s="25"/>
      <c r="E492" s="26"/>
      <c r="F492" s="26"/>
    </row>
    <row r="493" spans="1:6" ht="12.75">
      <c r="A493" s="24"/>
      <c r="B493" s="24"/>
      <c r="C493" s="24"/>
      <c r="D493" s="25"/>
      <c r="E493" s="26"/>
      <c r="F493" s="26"/>
    </row>
    <row r="494" spans="1:6" ht="12.75">
      <c r="A494" s="24"/>
      <c r="B494" s="24"/>
      <c r="C494" s="24"/>
      <c r="D494" s="25"/>
      <c r="E494" s="26"/>
      <c r="F494" s="26"/>
    </row>
    <row r="495" spans="1:6" ht="12.75">
      <c r="A495" s="24"/>
      <c r="B495" s="24"/>
      <c r="C495" s="24"/>
      <c r="D495" s="25"/>
      <c r="E495" s="26"/>
      <c r="F495" s="26"/>
    </row>
    <row r="496" spans="1:6" ht="12.75">
      <c r="A496" s="24"/>
      <c r="B496" s="24"/>
      <c r="C496" s="24"/>
      <c r="D496" s="25"/>
      <c r="E496" s="26"/>
      <c r="F496" s="26"/>
    </row>
    <row r="497" spans="1:6" ht="12.75">
      <c r="A497" s="24"/>
      <c r="B497" s="24"/>
      <c r="C497" s="24"/>
      <c r="D497" s="25"/>
      <c r="E497" s="26"/>
      <c r="F497" s="26"/>
    </row>
    <row r="498" spans="1:6" ht="12.75">
      <c r="A498" s="24"/>
      <c r="B498" s="24"/>
      <c r="C498" s="24"/>
      <c r="D498" s="25"/>
      <c r="E498" s="26"/>
      <c r="F498" s="26"/>
    </row>
    <row r="499" spans="1:6" ht="12.75">
      <c r="A499" s="24"/>
      <c r="B499" s="24"/>
      <c r="C499" s="24"/>
      <c r="D499" s="25"/>
      <c r="E499" s="26"/>
      <c r="F499" s="26"/>
    </row>
    <row r="500" spans="1:6" ht="12.75">
      <c r="A500" s="24"/>
      <c r="B500" s="24"/>
      <c r="C500" s="24"/>
      <c r="D500" s="25"/>
      <c r="E500" s="26"/>
      <c r="F500" s="26"/>
    </row>
    <row r="501" spans="1:6" ht="12.75">
      <c r="A501" s="24"/>
      <c r="B501" s="24"/>
      <c r="C501" s="24"/>
      <c r="D501" s="25"/>
      <c r="E501" s="26"/>
      <c r="F501" s="26"/>
    </row>
    <row r="502" spans="1:6" ht="12.75">
      <c r="A502" s="24"/>
      <c r="B502" s="24"/>
      <c r="C502" s="24"/>
      <c r="D502" s="25"/>
      <c r="E502" s="26"/>
      <c r="F502" s="26"/>
    </row>
    <row r="503" spans="1:6" ht="12.75">
      <c r="A503" s="24"/>
      <c r="B503" s="24"/>
      <c r="C503" s="24"/>
      <c r="D503" s="25"/>
      <c r="E503" s="26"/>
      <c r="F503" s="26"/>
    </row>
    <row r="504" spans="1:6" ht="12.75">
      <c r="A504" s="24"/>
      <c r="B504" s="24"/>
      <c r="C504" s="24"/>
      <c r="D504" s="25"/>
      <c r="E504" s="26"/>
      <c r="F504" s="26"/>
    </row>
    <row r="505" spans="1:6" ht="12.75">
      <c r="A505" s="24"/>
      <c r="B505" s="24"/>
      <c r="C505" s="24"/>
      <c r="D505" s="25"/>
      <c r="E505" s="26"/>
      <c r="F505" s="26"/>
    </row>
    <row r="506" spans="1:6" ht="12.75">
      <c r="A506" s="24"/>
      <c r="B506" s="24"/>
      <c r="C506" s="24"/>
      <c r="D506" s="25"/>
      <c r="E506" s="26"/>
      <c r="F506" s="26"/>
    </row>
    <row r="507" spans="1:6" ht="12.75">
      <c r="A507" s="24"/>
      <c r="B507" s="24"/>
      <c r="C507" s="24"/>
      <c r="D507" s="25"/>
      <c r="E507" s="26"/>
      <c r="F507" s="26"/>
    </row>
    <row r="508" spans="1:6" ht="12.75">
      <c r="A508" s="24"/>
      <c r="B508" s="24"/>
      <c r="C508" s="24"/>
      <c r="D508" s="25"/>
      <c r="E508" s="26"/>
      <c r="F508" s="26"/>
    </row>
    <row r="509" spans="1:6" ht="12.75">
      <c r="A509" s="24"/>
      <c r="B509" s="24"/>
      <c r="C509" s="24"/>
      <c r="D509" s="25"/>
      <c r="E509" s="26"/>
      <c r="F509" s="26"/>
    </row>
    <row r="510" spans="1:6" ht="12.75">
      <c r="A510" s="24"/>
      <c r="B510" s="24"/>
      <c r="C510" s="24"/>
      <c r="D510" s="25"/>
      <c r="E510" s="26"/>
      <c r="F510" s="26"/>
    </row>
    <row r="511" spans="1:6" ht="12.75">
      <c r="A511" s="24"/>
      <c r="B511" s="24"/>
      <c r="C511" s="24"/>
      <c r="D511" s="25"/>
      <c r="E511" s="26"/>
      <c r="F511" s="26"/>
    </row>
    <row r="512" spans="1:6" ht="12.75">
      <c r="A512" s="24"/>
      <c r="B512" s="24"/>
      <c r="C512" s="24"/>
      <c r="D512" s="25"/>
      <c r="E512" s="26"/>
      <c r="F512" s="26"/>
    </row>
    <row r="513" spans="1:6" ht="12.75">
      <c r="A513" s="24"/>
      <c r="B513" s="24"/>
      <c r="C513" s="24"/>
      <c r="D513" s="25"/>
      <c r="E513" s="26"/>
      <c r="F513" s="26"/>
    </row>
    <row r="514" spans="1:6" ht="12.75">
      <c r="A514" s="24"/>
      <c r="B514" s="24"/>
      <c r="C514" s="24"/>
      <c r="D514" s="25"/>
      <c r="E514" s="26"/>
      <c r="F514" s="26"/>
    </row>
    <row r="515" spans="1:6" ht="12.75">
      <c r="A515" s="24"/>
      <c r="B515" s="24"/>
      <c r="C515" s="24"/>
      <c r="D515" s="25"/>
      <c r="E515" s="26"/>
      <c r="F515" s="26"/>
    </row>
    <row r="516" spans="1:6" ht="12.75">
      <c r="A516" s="24"/>
      <c r="B516" s="24"/>
      <c r="C516" s="24"/>
      <c r="D516" s="25"/>
      <c r="E516" s="26"/>
      <c r="F516" s="26"/>
    </row>
    <row r="517" spans="1:6" ht="12.75">
      <c r="A517" s="24"/>
      <c r="B517" s="24"/>
      <c r="C517" s="24"/>
      <c r="D517" s="25"/>
      <c r="E517" s="26"/>
      <c r="F517" s="26"/>
    </row>
    <row r="518" spans="1:6" ht="12.75">
      <c r="A518" s="24"/>
      <c r="B518" s="24"/>
      <c r="C518" s="24"/>
      <c r="D518" s="25"/>
      <c r="E518" s="26"/>
      <c r="F518" s="26"/>
    </row>
    <row r="519" spans="1:6" ht="12.75">
      <c r="A519" s="24"/>
      <c r="B519" s="24"/>
      <c r="C519" s="24"/>
      <c r="D519" s="25"/>
      <c r="E519" s="26"/>
      <c r="F519" s="26"/>
    </row>
    <row r="520" spans="1:6" ht="12.75">
      <c r="A520" s="24"/>
      <c r="B520" s="24"/>
      <c r="C520" s="24"/>
      <c r="D520" s="25"/>
      <c r="E520" s="26"/>
      <c r="F520" s="26"/>
    </row>
    <row r="521" spans="1:6" ht="12.75">
      <c r="A521" s="24"/>
      <c r="B521" s="24"/>
      <c r="C521" s="24"/>
      <c r="D521" s="25"/>
      <c r="E521" s="26"/>
      <c r="F521" s="26"/>
    </row>
    <row r="522" spans="1:6" ht="12.75">
      <c r="A522" s="24"/>
      <c r="B522" s="24"/>
      <c r="C522" s="24"/>
      <c r="D522" s="25"/>
      <c r="E522" s="26"/>
      <c r="F522" s="26"/>
    </row>
    <row r="523" spans="1:6" ht="12.75">
      <c r="A523" s="24"/>
      <c r="B523" s="24"/>
      <c r="C523" s="24"/>
      <c r="D523" s="25"/>
      <c r="E523" s="26"/>
      <c r="F523" s="26"/>
    </row>
    <row r="524" spans="1:6" ht="12.75">
      <c r="A524" s="24"/>
      <c r="B524" s="24"/>
      <c r="C524" s="24"/>
      <c r="D524" s="25"/>
      <c r="E524" s="26"/>
      <c r="F524" s="26"/>
    </row>
    <row r="525" spans="1:6" ht="12.75">
      <c r="A525" s="24"/>
      <c r="B525" s="24"/>
      <c r="C525" s="24"/>
      <c r="D525" s="25"/>
      <c r="E525" s="26"/>
      <c r="F525" s="26"/>
    </row>
    <row r="526" spans="1:6" ht="12.75">
      <c r="A526" s="24"/>
      <c r="B526" s="24"/>
      <c r="C526" s="24"/>
      <c r="D526" s="25"/>
      <c r="E526" s="26"/>
      <c r="F526" s="26"/>
    </row>
    <row r="527" spans="1:6" ht="12.75">
      <c r="A527" s="24"/>
      <c r="B527" s="24"/>
      <c r="C527" s="24"/>
      <c r="D527" s="25"/>
      <c r="E527" s="26"/>
      <c r="F527" s="26"/>
    </row>
    <row r="528" spans="1:6" ht="12.75">
      <c r="A528" s="24"/>
      <c r="B528" s="24"/>
      <c r="C528" s="24"/>
      <c r="D528" s="25"/>
      <c r="E528" s="26"/>
      <c r="F528" s="26"/>
    </row>
    <row r="529" spans="1:6" ht="12.75">
      <c r="A529" s="24"/>
      <c r="B529" s="24"/>
      <c r="C529" s="24"/>
      <c r="D529" s="25"/>
      <c r="E529" s="26"/>
      <c r="F529" s="26"/>
    </row>
    <row r="530" spans="1:6" ht="12.75">
      <c r="A530" s="24"/>
      <c r="B530" s="24"/>
      <c r="C530" s="24"/>
      <c r="D530" s="25"/>
      <c r="E530" s="26"/>
      <c r="F530" s="26"/>
    </row>
    <row r="531" spans="1:6" ht="12.75">
      <c r="A531" s="24"/>
      <c r="B531" s="24"/>
      <c r="C531" s="24"/>
      <c r="D531" s="25"/>
      <c r="E531" s="26"/>
      <c r="F531" s="26"/>
    </row>
    <row r="532" spans="1:6" ht="12.75">
      <c r="A532" s="24"/>
      <c r="B532" s="24"/>
      <c r="C532" s="24"/>
      <c r="D532" s="25"/>
      <c r="E532" s="26"/>
      <c r="F532" s="26"/>
    </row>
    <row r="533" spans="1:6" ht="12.75">
      <c r="A533" s="24"/>
      <c r="B533" s="24"/>
      <c r="C533" s="24"/>
      <c r="D533" s="25"/>
      <c r="E533" s="26"/>
      <c r="F533" s="26"/>
    </row>
    <row r="534" spans="1:6" ht="12.75">
      <c r="A534" s="24"/>
      <c r="B534" s="24"/>
      <c r="C534" s="24"/>
      <c r="D534" s="25"/>
      <c r="E534" s="26"/>
      <c r="F534" s="26"/>
    </row>
    <row r="535" spans="1:6" ht="12.75">
      <c r="A535" s="24"/>
      <c r="B535" s="24"/>
      <c r="C535" s="24"/>
      <c r="D535" s="25"/>
      <c r="E535" s="26"/>
      <c r="F535" s="26"/>
    </row>
    <row r="536" spans="1:6" ht="12.75">
      <c r="A536" s="24"/>
      <c r="B536" s="24"/>
      <c r="C536" s="24"/>
      <c r="D536" s="25"/>
      <c r="E536" s="26"/>
      <c r="F536" s="26"/>
    </row>
    <row r="537" spans="1:6" ht="12.75">
      <c r="A537" s="24"/>
      <c r="B537" s="24"/>
      <c r="C537" s="24"/>
      <c r="D537" s="25"/>
      <c r="E537" s="26"/>
      <c r="F537" s="26"/>
    </row>
    <row r="538" spans="1:6" ht="12.75">
      <c r="A538" s="24"/>
      <c r="B538" s="24"/>
      <c r="C538" s="24"/>
      <c r="D538" s="25"/>
      <c r="E538" s="26"/>
      <c r="F538" s="26"/>
    </row>
    <row r="539" spans="1:6" ht="12.75">
      <c r="A539" s="24"/>
      <c r="B539" s="24"/>
      <c r="C539" s="24"/>
      <c r="D539" s="25"/>
      <c r="E539" s="26"/>
      <c r="F539" s="26"/>
    </row>
    <row r="540" spans="1:6" ht="12.75">
      <c r="A540" s="24"/>
      <c r="B540" s="24"/>
      <c r="C540" s="24"/>
      <c r="D540" s="25"/>
      <c r="E540" s="26"/>
      <c r="F540" s="26"/>
    </row>
    <row r="541" spans="1:6" ht="12.75">
      <c r="A541" s="24"/>
      <c r="B541" s="24"/>
      <c r="C541" s="24"/>
      <c r="D541" s="25"/>
      <c r="E541" s="26"/>
      <c r="F541" s="26"/>
    </row>
    <row r="542" spans="1:6" ht="12.75">
      <c r="A542" s="24"/>
      <c r="B542" s="24"/>
      <c r="C542" s="24"/>
      <c r="D542" s="25"/>
      <c r="E542" s="26"/>
      <c r="F542" s="26"/>
    </row>
    <row r="543" spans="1:6" ht="12.75">
      <c r="A543" s="24"/>
      <c r="B543" s="24"/>
      <c r="C543" s="24"/>
      <c r="D543" s="25"/>
      <c r="E543" s="26"/>
      <c r="F543" s="26"/>
    </row>
    <row r="544" spans="1:6" ht="12.75">
      <c r="A544" s="24"/>
      <c r="B544" s="24"/>
      <c r="C544" s="24"/>
      <c r="D544" s="25"/>
      <c r="E544" s="26"/>
      <c r="F544" s="26"/>
    </row>
    <row r="545" spans="1:6" ht="12.75">
      <c r="A545" s="24"/>
      <c r="B545" s="24"/>
      <c r="C545" s="24"/>
      <c r="D545" s="25"/>
      <c r="E545" s="26"/>
      <c r="F545" s="26"/>
    </row>
    <row r="546" spans="1:6" ht="12.75">
      <c r="A546" s="24"/>
      <c r="B546" s="24"/>
      <c r="C546" s="24"/>
      <c r="D546" s="25"/>
      <c r="E546" s="26"/>
      <c r="F546" s="26"/>
    </row>
    <row r="547" spans="1:6" ht="12.75">
      <c r="A547" s="24"/>
      <c r="B547" s="24"/>
      <c r="C547" s="24"/>
      <c r="D547" s="25"/>
      <c r="E547" s="26"/>
      <c r="F547" s="26"/>
    </row>
    <row r="548" spans="1:6" ht="12.75">
      <c r="A548" s="24"/>
      <c r="B548" s="24"/>
      <c r="C548" s="24"/>
      <c r="D548" s="25"/>
      <c r="E548" s="26"/>
      <c r="F548" s="26"/>
    </row>
    <row r="549" spans="1:6" ht="12.75">
      <c r="A549" s="24"/>
      <c r="B549" s="24"/>
      <c r="C549" s="24"/>
      <c r="D549" s="25"/>
      <c r="E549" s="26"/>
      <c r="F549" s="26"/>
    </row>
    <row r="550" spans="1:6" ht="12.75">
      <c r="A550" s="24"/>
      <c r="B550" s="24"/>
      <c r="C550" s="24"/>
      <c r="D550" s="25"/>
      <c r="E550" s="26"/>
      <c r="F550" s="26"/>
    </row>
    <row r="551" spans="1:6" ht="12.75">
      <c r="A551" s="24"/>
      <c r="B551" s="24"/>
      <c r="C551" s="24"/>
      <c r="D551" s="25"/>
      <c r="E551" s="26"/>
      <c r="F551" s="26"/>
    </row>
    <row r="552" spans="1:6" ht="12.75">
      <c r="A552" s="24"/>
      <c r="B552" s="24"/>
      <c r="C552" s="24"/>
      <c r="D552" s="25"/>
      <c r="E552" s="26"/>
      <c r="F552" s="26"/>
    </row>
    <row r="553" spans="1:6" ht="12.75">
      <c r="A553" s="24"/>
      <c r="B553" s="24"/>
      <c r="C553" s="24"/>
      <c r="D553" s="25"/>
      <c r="E553" s="26"/>
      <c r="F553" s="26"/>
    </row>
    <row r="554" spans="1:6" ht="12.75">
      <c r="A554" s="24"/>
      <c r="B554" s="24"/>
      <c r="C554" s="24"/>
      <c r="D554" s="25"/>
      <c r="E554" s="26"/>
      <c r="F554" s="26"/>
    </row>
    <row r="555" spans="1:6" ht="12.75">
      <c r="A555" s="24"/>
      <c r="B555" s="24"/>
      <c r="C555" s="24"/>
      <c r="D555" s="25"/>
      <c r="E555" s="26"/>
      <c r="F555" s="26"/>
    </row>
    <row r="556" spans="1:6" ht="12.75">
      <c r="A556" s="24"/>
      <c r="B556" s="24"/>
      <c r="C556" s="24"/>
      <c r="D556" s="25"/>
      <c r="E556" s="26"/>
      <c r="F556" s="26"/>
    </row>
    <row r="557" spans="1:6" ht="12.75">
      <c r="A557" s="24"/>
      <c r="B557" s="24"/>
      <c r="C557" s="24"/>
      <c r="D557" s="25"/>
      <c r="E557" s="26"/>
      <c r="F557" s="26"/>
    </row>
    <row r="558" spans="1:6" ht="12.75">
      <c r="A558" s="24"/>
      <c r="B558" s="24"/>
      <c r="C558" s="24"/>
      <c r="D558" s="25"/>
      <c r="E558" s="26"/>
      <c r="F558" s="26"/>
    </row>
    <row r="559" spans="1:6" ht="12.75">
      <c r="A559" s="24"/>
      <c r="B559" s="24"/>
      <c r="C559" s="24"/>
      <c r="D559" s="25"/>
      <c r="E559" s="26"/>
      <c r="F559" s="26"/>
    </row>
    <row r="560" spans="1:6" ht="12.75">
      <c r="A560" s="24"/>
      <c r="B560" s="24"/>
      <c r="C560" s="24"/>
      <c r="D560" s="25"/>
      <c r="E560" s="26"/>
      <c r="F560" s="26"/>
    </row>
    <row r="561" spans="1:6" ht="12.75">
      <c r="A561" s="24"/>
      <c r="B561" s="24"/>
      <c r="C561" s="24"/>
      <c r="D561" s="25"/>
      <c r="E561" s="26"/>
      <c r="F561" s="26"/>
    </row>
    <row r="562" spans="1:6" ht="12.75">
      <c r="A562" s="24"/>
      <c r="B562" s="24"/>
      <c r="C562" s="24"/>
      <c r="D562" s="25"/>
      <c r="E562" s="26"/>
      <c r="F562" s="26"/>
    </row>
    <row r="563" spans="1:6" ht="12.75">
      <c r="A563" s="24"/>
      <c r="B563" s="24"/>
      <c r="C563" s="24"/>
      <c r="D563" s="25"/>
      <c r="E563" s="26"/>
      <c r="F563" s="26"/>
    </row>
    <row r="564" spans="1:6" ht="12.75">
      <c r="A564" s="24"/>
      <c r="B564" s="24"/>
      <c r="C564" s="24"/>
      <c r="D564" s="25"/>
      <c r="E564" s="26"/>
      <c r="F564" s="26"/>
    </row>
    <row r="565" spans="1:6" ht="12.75">
      <c r="A565" s="24"/>
      <c r="B565" s="24"/>
      <c r="C565" s="24"/>
      <c r="D565" s="25"/>
      <c r="E565" s="26"/>
      <c r="F565" s="26"/>
    </row>
    <row r="566" spans="1:6" ht="12.75">
      <c r="A566" s="24"/>
      <c r="B566" s="24"/>
      <c r="C566" s="24"/>
      <c r="D566" s="25"/>
      <c r="E566" s="26"/>
      <c r="F566" s="26"/>
    </row>
    <row r="567" spans="1:6" ht="12.75">
      <c r="A567" s="24"/>
      <c r="B567" s="24"/>
      <c r="C567" s="24"/>
      <c r="D567" s="25"/>
      <c r="E567" s="26"/>
      <c r="F567" s="26"/>
    </row>
    <row r="568" spans="1:6" ht="12.75">
      <c r="A568" s="24"/>
      <c r="B568" s="24"/>
      <c r="C568" s="24"/>
      <c r="D568" s="25"/>
      <c r="E568" s="26"/>
      <c r="F568" s="26"/>
    </row>
    <row r="569" spans="1:6" ht="12.75">
      <c r="A569" s="24"/>
      <c r="B569" s="24"/>
      <c r="C569" s="24"/>
      <c r="D569" s="25"/>
      <c r="E569" s="26"/>
      <c r="F569" s="26"/>
    </row>
    <row r="570" spans="1:6" ht="12.75">
      <c r="A570" s="24"/>
      <c r="B570" s="24"/>
      <c r="C570" s="24"/>
      <c r="D570" s="25"/>
      <c r="E570" s="26"/>
      <c r="F570" s="26"/>
    </row>
    <row r="571" spans="1:6" ht="12.75">
      <c r="A571" s="24"/>
      <c r="B571" s="24"/>
      <c r="C571" s="24"/>
      <c r="D571" s="25"/>
      <c r="E571" s="26"/>
      <c r="F571" s="26"/>
    </row>
    <row r="572" spans="1:6" ht="12.75">
      <c r="A572" s="24"/>
      <c r="B572" s="24"/>
      <c r="C572" s="24"/>
      <c r="D572" s="25"/>
      <c r="E572" s="26"/>
      <c r="F572" s="26"/>
    </row>
    <row r="573" spans="1:6" ht="12.75">
      <c r="A573" s="24"/>
      <c r="B573" s="24"/>
      <c r="C573" s="24"/>
      <c r="D573" s="25"/>
      <c r="E573" s="26"/>
      <c r="F573" s="26"/>
    </row>
    <row r="574" spans="1:6" ht="12.75">
      <c r="A574" s="24"/>
      <c r="B574" s="24"/>
      <c r="C574" s="24"/>
      <c r="D574" s="25"/>
      <c r="E574" s="26"/>
      <c r="F574" s="26"/>
    </row>
    <row r="575" spans="1:6" ht="12.75">
      <c r="A575" s="24"/>
      <c r="B575" s="24"/>
      <c r="C575" s="24"/>
      <c r="D575" s="25"/>
      <c r="E575" s="26"/>
      <c r="F575" s="26"/>
    </row>
    <row r="576" spans="1:6" ht="12.75">
      <c r="A576" s="24"/>
      <c r="B576" s="24"/>
      <c r="C576" s="24"/>
      <c r="D576" s="25"/>
      <c r="E576" s="26"/>
      <c r="F576" s="26"/>
    </row>
    <row r="577" spans="1:6" ht="12.75">
      <c r="A577" s="24"/>
      <c r="B577" s="24"/>
      <c r="C577" s="24"/>
      <c r="D577" s="25"/>
      <c r="E577" s="26"/>
      <c r="F577" s="26"/>
    </row>
    <row r="578" spans="1:6" ht="12.75">
      <c r="A578" s="24"/>
      <c r="B578" s="24"/>
      <c r="C578" s="24"/>
      <c r="D578" s="25"/>
      <c r="E578" s="26"/>
      <c r="F578" s="26"/>
    </row>
    <row r="579" spans="1:6" ht="12.75">
      <c r="A579" s="24"/>
      <c r="B579" s="24"/>
      <c r="C579" s="24"/>
      <c r="D579" s="25"/>
      <c r="E579" s="26"/>
      <c r="F579" s="26"/>
    </row>
    <row r="580" spans="1:6" ht="12.75">
      <c r="A580" s="24"/>
      <c r="B580" s="24"/>
      <c r="C580" s="24"/>
      <c r="D580" s="25"/>
      <c r="E580" s="26"/>
      <c r="F580" s="26"/>
    </row>
    <row r="581" spans="1:6" ht="12.75">
      <c r="A581" s="24"/>
      <c r="B581" s="24"/>
      <c r="C581" s="24"/>
      <c r="D581" s="25"/>
      <c r="E581" s="26"/>
      <c r="F581" s="26"/>
    </row>
    <row r="582" spans="1:6" ht="12.75">
      <c r="A582" s="24"/>
      <c r="B582" s="24"/>
      <c r="C582" s="24"/>
      <c r="D582" s="25"/>
      <c r="E582" s="26"/>
      <c r="F582" s="26"/>
    </row>
    <row r="583" spans="1:6" ht="12.75">
      <c r="A583" s="24"/>
      <c r="B583" s="24"/>
      <c r="C583" s="24"/>
      <c r="D583" s="25"/>
      <c r="E583" s="26"/>
      <c r="F583" s="26"/>
    </row>
    <row r="584" spans="1:6" ht="12.75">
      <c r="A584" s="24"/>
      <c r="B584" s="24"/>
      <c r="C584" s="24"/>
      <c r="D584" s="25"/>
      <c r="E584" s="26"/>
      <c r="F584" s="26"/>
    </row>
    <row r="585" spans="1:6" ht="12.75">
      <c r="A585" s="24"/>
      <c r="B585" s="24"/>
      <c r="C585" s="24"/>
      <c r="D585" s="25"/>
      <c r="E585" s="26"/>
      <c r="F585" s="26"/>
    </row>
    <row r="586" spans="1:6" ht="12.75">
      <c r="A586" s="24"/>
      <c r="B586" s="24"/>
      <c r="C586" s="24"/>
      <c r="D586" s="25"/>
      <c r="E586" s="26"/>
      <c r="F586" s="26"/>
    </row>
    <row r="587" spans="1:6" ht="12.75">
      <c r="A587" s="24"/>
      <c r="B587" s="24"/>
      <c r="C587" s="24"/>
      <c r="D587" s="25"/>
      <c r="E587" s="26"/>
      <c r="F587" s="26"/>
    </row>
    <row r="588" spans="1:6" ht="12.75">
      <c r="A588" s="24"/>
      <c r="B588" s="24"/>
      <c r="C588" s="24"/>
      <c r="D588" s="25"/>
      <c r="E588" s="26"/>
      <c r="F588" s="26"/>
    </row>
    <row r="589" spans="1:6" ht="12.75">
      <c r="A589" s="24"/>
      <c r="B589" s="24"/>
      <c r="C589" s="24"/>
      <c r="D589" s="25"/>
      <c r="E589" s="26"/>
      <c r="F589" s="26"/>
    </row>
    <row r="590" spans="1:6" ht="12.75">
      <c r="A590" s="24"/>
      <c r="B590" s="24"/>
      <c r="C590" s="24"/>
      <c r="D590" s="25"/>
      <c r="E590" s="26"/>
      <c r="F590" s="26"/>
    </row>
    <row r="591" spans="1:6" ht="12.75">
      <c r="A591" s="24"/>
      <c r="B591" s="24"/>
      <c r="C591" s="24"/>
      <c r="D591" s="25"/>
      <c r="E591" s="26"/>
      <c r="F591" s="26"/>
    </row>
    <row r="592" spans="1:6" ht="12.75">
      <c r="A592" s="24"/>
      <c r="B592" s="24"/>
      <c r="C592" s="24"/>
      <c r="D592" s="25"/>
      <c r="E592" s="26"/>
      <c r="F592" s="26"/>
    </row>
    <row r="593" spans="1:6" ht="12.75">
      <c r="A593" s="24"/>
      <c r="B593" s="24"/>
      <c r="C593" s="24"/>
      <c r="D593" s="25"/>
      <c r="E593" s="26"/>
      <c r="F593" s="26"/>
    </row>
    <row r="594" spans="1:6" ht="12.75">
      <c r="A594" s="24"/>
      <c r="B594" s="24"/>
      <c r="C594" s="24"/>
      <c r="D594" s="25"/>
      <c r="E594" s="26"/>
      <c r="F594" s="26"/>
    </row>
    <row r="595" spans="1:6" ht="12.75">
      <c r="A595" s="24"/>
      <c r="B595" s="24"/>
      <c r="C595" s="24"/>
      <c r="D595" s="25"/>
      <c r="E595" s="26"/>
      <c r="F595" s="26"/>
    </row>
    <row r="596" spans="1:6" ht="12.75">
      <c r="A596" s="24"/>
      <c r="B596" s="24"/>
      <c r="C596" s="24"/>
      <c r="D596" s="25"/>
      <c r="E596" s="26"/>
      <c r="F596" s="26"/>
    </row>
    <row r="597" spans="1:6" ht="12.75">
      <c r="A597" s="24"/>
      <c r="B597" s="24"/>
      <c r="C597" s="24"/>
      <c r="D597" s="25"/>
      <c r="E597" s="26"/>
      <c r="F597" s="26"/>
    </row>
    <row r="598" spans="1:6" ht="12.75">
      <c r="A598" s="24"/>
      <c r="B598" s="24"/>
      <c r="C598" s="24"/>
      <c r="D598" s="25"/>
      <c r="E598" s="26"/>
      <c r="F598" s="26"/>
    </row>
    <row r="599" spans="1:6" ht="12.75">
      <c r="A599" s="24"/>
      <c r="B599" s="24"/>
      <c r="C599" s="24"/>
      <c r="D599" s="25"/>
      <c r="E599" s="26"/>
      <c r="F599" s="26"/>
    </row>
    <row r="600" spans="1:6" ht="12.75">
      <c r="A600" s="24"/>
      <c r="B600" s="24"/>
      <c r="C600" s="24"/>
      <c r="D600" s="25"/>
      <c r="E600" s="26"/>
      <c r="F600" s="26"/>
    </row>
    <row r="601" spans="1:6" ht="12.75">
      <c r="A601" s="24"/>
      <c r="B601" s="24"/>
      <c r="C601" s="24"/>
      <c r="D601" s="25"/>
      <c r="E601" s="26"/>
      <c r="F601" s="26"/>
    </row>
    <row r="602" spans="1:6" ht="12.75">
      <c r="A602" s="24"/>
      <c r="B602" s="24"/>
      <c r="C602" s="24"/>
      <c r="D602" s="25"/>
      <c r="E602" s="26"/>
      <c r="F602" s="26"/>
    </row>
    <row r="603" spans="1:6" ht="12.75">
      <c r="A603" s="24"/>
      <c r="B603" s="24"/>
      <c r="C603" s="24"/>
      <c r="D603" s="25"/>
      <c r="E603" s="26"/>
      <c r="F603" s="26"/>
    </row>
    <row r="604" spans="1:6" ht="12.75">
      <c r="A604" s="24"/>
      <c r="B604" s="24"/>
      <c r="C604" s="24"/>
      <c r="D604" s="25"/>
      <c r="E604" s="26"/>
      <c r="F604" s="26"/>
    </row>
    <row r="605" spans="1:6" ht="12.75">
      <c r="A605" s="24"/>
      <c r="B605" s="24"/>
      <c r="C605" s="24"/>
      <c r="D605" s="25"/>
      <c r="E605" s="26"/>
      <c r="F605" s="26"/>
    </row>
    <row r="606" spans="1:6" ht="12.75">
      <c r="A606" s="24"/>
      <c r="B606" s="24"/>
      <c r="C606" s="24"/>
      <c r="D606" s="25"/>
      <c r="E606" s="26"/>
      <c r="F606" s="26"/>
    </row>
    <row r="607" spans="1:6" ht="12.75">
      <c r="A607" s="24"/>
      <c r="B607" s="24"/>
      <c r="C607" s="24"/>
      <c r="D607" s="25"/>
      <c r="E607" s="26"/>
      <c r="F607" s="26"/>
    </row>
    <row r="608" spans="1:6" ht="12.75">
      <c r="A608" s="24"/>
      <c r="B608" s="24"/>
      <c r="C608" s="24"/>
      <c r="D608" s="25"/>
      <c r="E608" s="26"/>
      <c r="F608" s="26"/>
    </row>
    <row r="609" spans="1:6" ht="12.75">
      <c r="A609" s="24"/>
      <c r="B609" s="24"/>
      <c r="C609" s="24"/>
      <c r="D609" s="25"/>
      <c r="E609" s="26"/>
      <c r="F609" s="26"/>
    </row>
    <row r="610" spans="1:6" ht="12.75">
      <c r="A610" s="24"/>
      <c r="B610" s="24"/>
      <c r="C610" s="24"/>
      <c r="D610" s="25"/>
      <c r="E610" s="26"/>
      <c r="F610" s="26"/>
    </row>
    <row r="611" spans="1:6" ht="12.75">
      <c r="A611" s="24"/>
      <c r="B611" s="24"/>
      <c r="C611" s="24"/>
      <c r="D611" s="25"/>
      <c r="E611" s="26"/>
      <c r="F611" s="26"/>
    </row>
    <row r="612" spans="1:6" ht="12.75">
      <c r="A612" s="24"/>
      <c r="B612" s="24"/>
      <c r="C612" s="24"/>
      <c r="D612" s="25"/>
      <c r="E612" s="26"/>
      <c r="F612" s="26"/>
    </row>
    <row r="613" spans="1:6" ht="12.75">
      <c r="A613" s="24"/>
      <c r="B613" s="24"/>
      <c r="C613" s="24"/>
      <c r="D613" s="25"/>
      <c r="E613" s="26"/>
      <c r="F613" s="26"/>
    </row>
    <row r="614" spans="1:6" ht="12.75">
      <c r="A614" s="24"/>
      <c r="B614" s="24"/>
      <c r="C614" s="24"/>
      <c r="D614" s="25"/>
      <c r="E614" s="26"/>
      <c r="F614" s="26"/>
    </row>
    <row r="615" spans="1:6" ht="12.75">
      <c r="A615" s="24"/>
      <c r="B615" s="24"/>
      <c r="C615" s="24"/>
      <c r="D615" s="25"/>
      <c r="E615" s="26"/>
      <c r="F615" s="26"/>
    </row>
    <row r="616" spans="1:6" ht="12.75">
      <c r="A616" s="24"/>
      <c r="B616" s="24"/>
      <c r="C616" s="24"/>
      <c r="D616" s="25"/>
      <c r="E616" s="26"/>
      <c r="F616" s="26"/>
    </row>
    <row r="617" spans="1:6" ht="12.75">
      <c r="A617" s="24"/>
      <c r="B617" s="24"/>
      <c r="C617" s="24"/>
      <c r="D617" s="25"/>
      <c r="E617" s="26"/>
      <c r="F617" s="26"/>
    </row>
    <row r="618" spans="1:6" ht="12.75">
      <c r="A618" s="24"/>
      <c r="B618" s="24"/>
      <c r="C618" s="24"/>
      <c r="D618" s="25"/>
      <c r="E618" s="26"/>
      <c r="F618" s="26"/>
    </row>
    <row r="619" spans="1:6" ht="12.75">
      <c r="A619" s="24"/>
      <c r="B619" s="24"/>
      <c r="C619" s="24"/>
      <c r="D619" s="25"/>
      <c r="E619" s="26"/>
      <c r="F619" s="26"/>
    </row>
    <row r="620" spans="1:6" ht="12.75">
      <c r="A620" s="24"/>
      <c r="B620" s="24"/>
      <c r="C620" s="24"/>
      <c r="D620" s="25"/>
      <c r="E620" s="26"/>
      <c r="F620" s="26"/>
    </row>
    <row r="621" spans="1:6" ht="12.75">
      <c r="A621" s="24"/>
      <c r="B621" s="24"/>
      <c r="C621" s="24"/>
      <c r="D621" s="25"/>
      <c r="E621" s="26"/>
      <c r="F621" s="26"/>
    </row>
    <row r="622" spans="1:6" ht="12.75">
      <c r="A622" s="24"/>
      <c r="B622" s="24"/>
      <c r="C622" s="24"/>
      <c r="D622" s="25"/>
      <c r="E622" s="26"/>
      <c r="F622" s="26"/>
    </row>
    <row r="623" spans="1:6" ht="12.75">
      <c r="A623" s="24"/>
      <c r="B623" s="24"/>
      <c r="C623" s="24"/>
      <c r="D623" s="25"/>
      <c r="E623" s="26"/>
      <c r="F623" s="26"/>
    </row>
    <row r="624" spans="1:6" ht="12.75">
      <c r="A624" s="24"/>
      <c r="B624" s="24"/>
      <c r="C624" s="24"/>
      <c r="D624" s="25"/>
      <c r="E624" s="26"/>
      <c r="F624" s="26"/>
    </row>
    <row r="625" spans="1:6" ht="12.75">
      <c r="A625" s="24"/>
      <c r="B625" s="24"/>
      <c r="C625" s="24"/>
      <c r="D625" s="25"/>
      <c r="E625" s="26"/>
      <c r="F625" s="26"/>
    </row>
    <row r="626" spans="1:6" ht="12.75">
      <c r="A626" s="24"/>
      <c r="B626" s="24"/>
      <c r="C626" s="24"/>
      <c r="D626" s="25"/>
      <c r="E626" s="26"/>
      <c r="F626" s="26"/>
    </row>
    <row r="627" spans="1:6" ht="12.75">
      <c r="A627" s="24"/>
      <c r="B627" s="24"/>
      <c r="C627" s="24"/>
      <c r="D627" s="25"/>
      <c r="E627" s="26"/>
      <c r="F627" s="26"/>
    </row>
    <row r="628" spans="1:6" ht="12.75">
      <c r="A628" s="24"/>
      <c r="B628" s="24"/>
      <c r="C628" s="24"/>
      <c r="D628" s="25"/>
      <c r="E628" s="26"/>
      <c r="F628" s="26"/>
    </row>
    <row r="629" spans="1:6" ht="12.75">
      <c r="A629" s="24"/>
      <c r="B629" s="24"/>
      <c r="C629" s="24"/>
      <c r="D629" s="25"/>
      <c r="E629" s="26"/>
      <c r="F629" s="26"/>
    </row>
    <row r="630" spans="1:6" ht="12.75">
      <c r="A630" s="24"/>
      <c r="B630" s="24"/>
      <c r="C630" s="24"/>
      <c r="D630" s="25"/>
      <c r="E630" s="26"/>
      <c r="F630" s="26"/>
    </row>
    <row r="631" spans="1:6" ht="12.75">
      <c r="A631" s="24"/>
      <c r="B631" s="24"/>
      <c r="C631" s="24"/>
      <c r="D631" s="25"/>
      <c r="E631" s="26"/>
      <c r="F631" s="26"/>
    </row>
    <row r="632" spans="1:6" ht="12.75">
      <c r="A632" s="24"/>
      <c r="B632" s="24"/>
      <c r="C632" s="24"/>
      <c r="D632" s="25"/>
      <c r="E632" s="26"/>
      <c r="F632" s="26"/>
    </row>
    <row r="633" spans="1:6" ht="12.75">
      <c r="A633" s="24"/>
      <c r="B633" s="24"/>
      <c r="C633" s="24"/>
      <c r="D633" s="25"/>
      <c r="E633" s="26"/>
      <c r="F633" s="26"/>
    </row>
    <row r="634" spans="1:6" ht="12.75">
      <c r="A634" s="24"/>
      <c r="B634" s="24"/>
      <c r="C634" s="24"/>
      <c r="D634" s="25"/>
      <c r="E634" s="26"/>
      <c r="F634" s="26"/>
    </row>
    <row r="635" spans="1:6" ht="12.75">
      <c r="A635" s="24"/>
      <c r="B635" s="24"/>
      <c r="C635" s="24"/>
      <c r="D635" s="25"/>
      <c r="E635" s="26"/>
      <c r="F635" s="26"/>
    </row>
    <row r="636" spans="1:6" ht="12.75">
      <c r="A636" s="24"/>
      <c r="B636" s="24"/>
      <c r="C636" s="24"/>
      <c r="D636" s="25"/>
      <c r="E636" s="26"/>
      <c r="F636" s="26"/>
    </row>
    <row r="637" spans="1:6" ht="12.75">
      <c r="A637" s="24"/>
      <c r="B637" s="24"/>
      <c r="C637" s="24"/>
      <c r="D637" s="25"/>
      <c r="E637" s="26"/>
      <c r="F637" s="26"/>
    </row>
    <row r="638" spans="1:6" ht="12.75">
      <c r="A638" s="24"/>
      <c r="B638" s="24"/>
      <c r="C638" s="24"/>
      <c r="D638" s="25"/>
      <c r="E638" s="26"/>
      <c r="F638" s="26"/>
    </row>
    <row r="639" spans="1:6" ht="12.75">
      <c r="A639" s="24"/>
      <c r="B639" s="24"/>
      <c r="C639" s="24"/>
      <c r="D639" s="25"/>
      <c r="E639" s="26"/>
      <c r="F639" s="26"/>
    </row>
    <row r="640" spans="1:6" ht="12.75">
      <c r="A640" s="24"/>
      <c r="B640" s="24"/>
      <c r="C640" s="24"/>
      <c r="D640" s="25"/>
      <c r="E640" s="26"/>
      <c r="F640" s="26"/>
    </row>
    <row r="641" spans="1:6" ht="12.75">
      <c r="A641" s="24"/>
      <c r="B641" s="24"/>
      <c r="C641" s="24"/>
      <c r="D641" s="25"/>
      <c r="E641" s="26"/>
      <c r="F641" s="26"/>
    </row>
    <row r="642" spans="1:6" ht="12.75">
      <c r="A642" s="24"/>
      <c r="B642" s="24"/>
      <c r="C642" s="24"/>
      <c r="D642" s="25"/>
      <c r="E642" s="26"/>
      <c r="F642" s="26"/>
    </row>
    <row r="643" spans="1:6" ht="12.75">
      <c r="A643" s="24"/>
      <c r="B643" s="24"/>
      <c r="C643" s="24"/>
      <c r="D643" s="25"/>
      <c r="E643" s="26"/>
      <c r="F643" s="26"/>
    </row>
    <row r="644" spans="1:6" ht="12.75">
      <c r="A644" s="24"/>
      <c r="B644" s="24"/>
      <c r="C644" s="24"/>
      <c r="D644" s="25"/>
      <c r="E644" s="26"/>
      <c r="F644" s="26"/>
    </row>
    <row r="645" spans="1:6" ht="12.75">
      <c r="A645" s="24"/>
      <c r="B645" s="24"/>
      <c r="C645" s="24"/>
      <c r="D645" s="25"/>
      <c r="E645" s="26"/>
      <c r="F645" s="26"/>
    </row>
    <row r="646" spans="1:6" ht="12.75">
      <c r="A646" s="24"/>
      <c r="B646" s="24"/>
      <c r="C646" s="24"/>
      <c r="D646" s="25"/>
      <c r="E646" s="26"/>
      <c r="F646" s="26"/>
    </row>
    <row r="647" spans="1:6" ht="12.75">
      <c r="A647" s="24"/>
      <c r="B647" s="24"/>
      <c r="C647" s="24"/>
      <c r="D647" s="25"/>
      <c r="E647" s="26"/>
      <c r="F647" s="26"/>
    </row>
    <row r="648" spans="1:6" ht="12.75">
      <c r="A648" s="24"/>
      <c r="B648" s="24"/>
      <c r="C648" s="24"/>
      <c r="D648" s="25"/>
      <c r="E648" s="26"/>
      <c r="F648" s="26"/>
    </row>
    <row r="649" spans="1:6" ht="12.75">
      <c r="A649" s="24"/>
      <c r="B649" s="24"/>
      <c r="C649" s="24"/>
      <c r="D649" s="25"/>
      <c r="E649" s="26"/>
      <c r="F649" s="26"/>
    </row>
    <row r="650" spans="1:6" ht="12.75">
      <c r="A650" s="24"/>
      <c r="B650" s="24"/>
      <c r="C650" s="24"/>
      <c r="D650" s="25"/>
      <c r="E650" s="26"/>
      <c r="F650" s="26"/>
    </row>
    <row r="651" spans="1:6" ht="12.75">
      <c r="A651" s="24"/>
      <c r="B651" s="24"/>
      <c r="C651" s="24"/>
      <c r="D651" s="25"/>
      <c r="E651" s="26"/>
      <c r="F651" s="26"/>
    </row>
    <row r="652" spans="1:6" ht="12.75">
      <c r="A652" s="24"/>
      <c r="B652" s="24"/>
      <c r="C652" s="24"/>
      <c r="D652" s="25"/>
      <c r="E652" s="26"/>
      <c r="F652" s="26"/>
    </row>
    <row r="653" spans="1:6" ht="12.75">
      <c r="A653" s="24"/>
      <c r="B653" s="24"/>
      <c r="C653" s="24"/>
      <c r="D653" s="25"/>
      <c r="E653" s="26"/>
      <c r="F653" s="26"/>
    </row>
    <row r="654" spans="1:6" ht="12.75">
      <c r="A654" s="24"/>
      <c r="B654" s="24"/>
      <c r="C654" s="24"/>
      <c r="D654" s="25"/>
      <c r="E654" s="26"/>
      <c r="F654" s="26"/>
    </row>
    <row r="655" spans="1:6" ht="12.75">
      <c r="A655" s="24"/>
      <c r="B655" s="24"/>
      <c r="C655" s="24"/>
      <c r="D655" s="25"/>
      <c r="E655" s="26"/>
      <c r="F655" s="26"/>
    </row>
    <row r="656" spans="1:6" ht="12.75">
      <c r="A656" s="24"/>
      <c r="B656" s="24"/>
      <c r="C656" s="24"/>
      <c r="D656" s="25"/>
      <c r="E656" s="26"/>
      <c r="F656" s="26"/>
    </row>
    <row r="657" spans="1:6" ht="12.75">
      <c r="A657" s="24"/>
      <c r="B657" s="24"/>
      <c r="C657" s="24"/>
      <c r="D657" s="25"/>
      <c r="E657" s="26"/>
      <c r="F657" s="26"/>
    </row>
    <row r="658" spans="1:6" ht="12.75">
      <c r="A658" s="24"/>
      <c r="B658" s="24"/>
      <c r="C658" s="24"/>
      <c r="D658" s="25"/>
      <c r="E658" s="26"/>
      <c r="F658" s="26"/>
    </row>
    <row r="659" spans="1:6" ht="12.75">
      <c r="A659" s="24"/>
      <c r="B659" s="24"/>
      <c r="C659" s="24"/>
      <c r="D659" s="25"/>
      <c r="E659" s="26"/>
      <c r="F659" s="26"/>
    </row>
    <row r="660" spans="1:6" ht="12.75">
      <c r="A660" s="24"/>
      <c r="B660" s="24"/>
      <c r="C660" s="24"/>
      <c r="D660" s="25"/>
      <c r="E660" s="26"/>
      <c r="F660" s="26"/>
    </row>
    <row r="661" spans="1:6" ht="12.75">
      <c r="A661" s="24"/>
      <c r="B661" s="24"/>
      <c r="C661" s="24"/>
      <c r="D661" s="25"/>
      <c r="E661" s="26"/>
      <c r="F661" s="26"/>
    </row>
    <row r="662" spans="1:6" ht="12.75">
      <c r="A662" s="24"/>
      <c r="B662" s="24"/>
      <c r="C662" s="24"/>
      <c r="D662" s="25"/>
      <c r="E662" s="26"/>
      <c r="F662" s="26"/>
    </row>
    <row r="663" spans="1:6" ht="12.75">
      <c r="A663" s="24"/>
      <c r="B663" s="24"/>
      <c r="C663" s="24"/>
      <c r="D663" s="25"/>
      <c r="E663" s="26"/>
      <c r="F663" s="26"/>
    </row>
    <row r="664" spans="1:6" ht="12.75">
      <c r="A664" s="24"/>
      <c r="B664" s="24"/>
      <c r="C664" s="24"/>
      <c r="D664" s="25"/>
      <c r="E664" s="26"/>
      <c r="F664" s="26"/>
    </row>
    <row r="665" spans="1:6" ht="12.75">
      <c r="A665" s="24"/>
      <c r="B665" s="24"/>
      <c r="C665" s="24"/>
      <c r="D665" s="25"/>
      <c r="E665" s="26"/>
      <c r="F665" s="26"/>
    </row>
    <row r="666" spans="1:6" ht="12.75">
      <c r="A666" s="24"/>
      <c r="B666" s="24"/>
      <c r="C666" s="24"/>
      <c r="D666" s="25"/>
      <c r="E666" s="26"/>
      <c r="F666" s="26"/>
    </row>
    <row r="667" spans="1:6" ht="12.75">
      <c r="A667" s="24"/>
      <c r="B667" s="24"/>
      <c r="C667" s="24"/>
      <c r="D667" s="25"/>
      <c r="E667" s="26"/>
      <c r="F667" s="26"/>
    </row>
    <row r="668" spans="1:6" ht="12.75">
      <c r="A668" s="24"/>
      <c r="B668" s="24"/>
      <c r="C668" s="24"/>
      <c r="D668" s="25"/>
      <c r="E668" s="26"/>
      <c r="F668" s="26"/>
    </row>
    <row r="669" spans="1:6" ht="12.75">
      <c r="A669" s="24"/>
      <c r="B669" s="24"/>
      <c r="C669" s="24"/>
      <c r="D669" s="25"/>
      <c r="E669" s="26"/>
      <c r="F669" s="26"/>
    </row>
    <row r="670" spans="1:6" ht="12.75">
      <c r="A670" s="24"/>
      <c r="B670" s="24"/>
      <c r="C670" s="24"/>
      <c r="D670" s="25"/>
      <c r="E670" s="26"/>
      <c r="F670" s="26"/>
    </row>
    <row r="671" spans="1:6" ht="12.75">
      <c r="A671" s="24"/>
      <c r="B671" s="24"/>
      <c r="C671" s="24"/>
      <c r="D671" s="25"/>
      <c r="E671" s="26"/>
      <c r="F671" s="26"/>
    </row>
    <row r="672" spans="1:6" ht="12.75">
      <c r="A672" s="24"/>
      <c r="B672" s="24"/>
      <c r="C672" s="24"/>
      <c r="D672" s="25"/>
      <c r="E672" s="26"/>
      <c r="F672" s="26"/>
    </row>
    <row r="673" spans="1:6" ht="12.75">
      <c r="A673" s="24"/>
      <c r="B673" s="24"/>
      <c r="C673" s="24"/>
      <c r="D673" s="25"/>
      <c r="E673" s="26"/>
      <c r="F673" s="26"/>
    </row>
    <row r="674" spans="1:6" ht="12.75">
      <c r="A674" s="24"/>
      <c r="B674" s="24"/>
      <c r="C674" s="24"/>
      <c r="D674" s="25"/>
      <c r="E674" s="26"/>
      <c r="F674" s="26"/>
    </row>
    <row r="675" spans="1:6" ht="12.75">
      <c r="A675" s="24"/>
      <c r="B675" s="24"/>
      <c r="C675" s="24"/>
      <c r="D675" s="25"/>
      <c r="E675" s="26"/>
      <c r="F675" s="26"/>
    </row>
    <row r="676" spans="1:6" ht="12.75">
      <c r="A676" s="24"/>
      <c r="B676" s="24"/>
      <c r="C676" s="24"/>
      <c r="D676" s="25"/>
      <c r="E676" s="26"/>
      <c r="F676" s="26"/>
    </row>
    <row r="677" spans="1:6" ht="12.75">
      <c r="A677" s="24"/>
      <c r="B677" s="24"/>
      <c r="C677" s="24"/>
      <c r="D677" s="25"/>
      <c r="E677" s="26"/>
      <c r="F677" s="26"/>
    </row>
    <row r="678" spans="1:6" ht="12.75">
      <c r="A678" s="24"/>
      <c r="B678" s="24"/>
      <c r="C678" s="24"/>
      <c r="D678" s="25"/>
      <c r="E678" s="26"/>
      <c r="F678" s="26"/>
    </row>
    <row r="679" spans="1:6" ht="12.75">
      <c r="A679" s="24"/>
      <c r="B679" s="24"/>
      <c r="C679" s="24"/>
      <c r="D679" s="25"/>
      <c r="E679" s="26"/>
      <c r="F679" s="26"/>
    </row>
    <row r="680" spans="1:6" ht="12.75">
      <c r="A680" s="24"/>
      <c r="B680" s="24"/>
      <c r="C680" s="24"/>
      <c r="D680" s="25"/>
      <c r="E680" s="26"/>
      <c r="F680" s="26"/>
    </row>
    <row r="681" spans="1:6" ht="12.75">
      <c r="A681" s="24"/>
      <c r="B681" s="24"/>
      <c r="C681" s="24"/>
      <c r="D681" s="25"/>
      <c r="E681" s="26"/>
      <c r="F681" s="26"/>
    </row>
    <row r="682" spans="1:6" ht="12.75">
      <c r="A682" s="24"/>
      <c r="B682" s="24"/>
      <c r="C682" s="24"/>
      <c r="D682" s="25"/>
      <c r="E682" s="26"/>
      <c r="F682" s="26"/>
    </row>
    <row r="683" spans="1:6" ht="12.75">
      <c r="A683" s="24"/>
      <c r="B683" s="24"/>
      <c r="C683" s="24"/>
      <c r="D683" s="25"/>
      <c r="E683" s="26"/>
      <c r="F683" s="26"/>
    </row>
    <row r="684" spans="1:6" ht="12.75">
      <c r="A684" s="24"/>
      <c r="B684" s="24"/>
      <c r="C684" s="24"/>
      <c r="D684" s="25"/>
      <c r="E684" s="26"/>
      <c r="F684" s="26"/>
    </row>
    <row r="685" spans="1:6" ht="12.75">
      <c r="A685" s="24"/>
      <c r="B685" s="24"/>
      <c r="C685" s="24"/>
      <c r="D685" s="25"/>
      <c r="E685" s="26"/>
      <c r="F685" s="26"/>
    </row>
    <row r="686" spans="1:6" ht="12.75">
      <c r="A686" s="24"/>
      <c r="B686" s="24"/>
      <c r="C686" s="24"/>
      <c r="D686" s="25"/>
      <c r="E686" s="26"/>
      <c r="F686" s="26"/>
    </row>
    <row r="687" spans="1:6" ht="12.75">
      <c r="A687" s="24"/>
      <c r="B687" s="24"/>
      <c r="C687" s="24"/>
      <c r="D687" s="25"/>
      <c r="E687" s="26"/>
      <c r="F687" s="26"/>
    </row>
    <row r="688" spans="1:6" ht="12.75">
      <c r="A688" s="24"/>
      <c r="B688" s="24"/>
      <c r="C688" s="24"/>
      <c r="D688" s="25"/>
      <c r="E688" s="26"/>
      <c r="F688" s="26"/>
    </row>
    <row r="689" spans="1:6" ht="12.75">
      <c r="A689" s="24"/>
      <c r="B689" s="24"/>
      <c r="C689" s="24"/>
      <c r="D689" s="25"/>
      <c r="E689" s="26"/>
      <c r="F689" s="26"/>
    </row>
    <row r="690" spans="1:6" ht="12.75">
      <c r="A690" s="24"/>
      <c r="B690" s="24"/>
      <c r="C690" s="24"/>
      <c r="D690" s="25"/>
      <c r="E690" s="26"/>
      <c r="F690" s="26"/>
    </row>
    <row r="691" spans="1:6" ht="12.75">
      <c r="A691" s="24"/>
      <c r="B691" s="24"/>
      <c r="C691" s="24"/>
      <c r="D691" s="25"/>
      <c r="E691" s="26"/>
      <c r="F691" s="26"/>
    </row>
    <row r="692" spans="1:6" ht="12.75">
      <c r="A692" s="24"/>
      <c r="B692" s="24"/>
      <c r="C692" s="24"/>
      <c r="D692" s="25"/>
      <c r="E692" s="26"/>
      <c r="F692" s="26"/>
    </row>
    <row r="693" spans="1:6" ht="12.75">
      <c r="A693" s="24"/>
      <c r="B693" s="24"/>
      <c r="C693" s="24"/>
      <c r="D693" s="25"/>
      <c r="E693" s="26"/>
      <c r="F693" s="26"/>
    </row>
    <row r="694" spans="1:6" ht="12.75">
      <c r="A694" s="24"/>
      <c r="B694" s="24"/>
      <c r="C694" s="24"/>
      <c r="D694" s="25"/>
      <c r="E694" s="26"/>
      <c r="F694" s="26"/>
    </row>
    <row r="695" spans="1:6" ht="12.75">
      <c r="A695" s="24"/>
      <c r="B695" s="24"/>
      <c r="C695" s="24"/>
      <c r="D695" s="25"/>
      <c r="E695" s="26"/>
      <c r="F695" s="26"/>
    </row>
    <row r="696" spans="1:6" ht="12.75">
      <c r="A696" s="24"/>
      <c r="B696" s="24"/>
      <c r="C696" s="24"/>
      <c r="D696" s="25"/>
      <c r="E696" s="26"/>
      <c r="F696" s="26"/>
    </row>
    <row r="697" spans="1:6" ht="12.75">
      <c r="A697" s="24"/>
      <c r="B697" s="24"/>
      <c r="C697" s="24"/>
      <c r="D697" s="25"/>
      <c r="E697" s="26"/>
      <c r="F697" s="26"/>
    </row>
    <row r="698" spans="1:6" ht="12.75">
      <c r="A698" s="24"/>
      <c r="B698" s="24"/>
      <c r="C698" s="24"/>
      <c r="D698" s="25"/>
      <c r="E698" s="26"/>
      <c r="F698" s="26"/>
    </row>
    <row r="699" spans="1:6" ht="12.75">
      <c r="A699" s="24"/>
      <c r="B699" s="24"/>
      <c r="C699" s="24"/>
      <c r="D699" s="25"/>
      <c r="E699" s="26"/>
      <c r="F699" s="26"/>
    </row>
    <row r="700" spans="1:6" ht="12.75">
      <c r="A700" s="24"/>
      <c r="B700" s="24"/>
      <c r="C700" s="24"/>
      <c r="D700" s="25"/>
      <c r="E700" s="26"/>
      <c r="F700" s="26"/>
    </row>
    <row r="701" spans="1:6" ht="12.75">
      <c r="A701" s="24"/>
      <c r="B701" s="24"/>
      <c r="C701" s="24"/>
      <c r="D701" s="25"/>
      <c r="E701" s="26"/>
      <c r="F701" s="26"/>
    </row>
    <row r="702" spans="1:6" ht="12.75">
      <c r="A702" s="24"/>
      <c r="B702" s="24"/>
      <c r="C702" s="24"/>
      <c r="D702" s="25"/>
      <c r="E702" s="26"/>
      <c r="F702" s="26"/>
    </row>
    <row r="703" spans="1:6" ht="12.75">
      <c r="A703" s="24"/>
      <c r="B703" s="24"/>
      <c r="C703" s="24"/>
      <c r="D703" s="25"/>
      <c r="E703" s="26"/>
      <c r="F703" s="26"/>
    </row>
    <row r="704" spans="1:6" ht="12.75">
      <c r="A704" s="24"/>
      <c r="B704" s="24"/>
      <c r="C704" s="24"/>
      <c r="D704" s="25"/>
      <c r="E704" s="26"/>
      <c r="F704" s="26"/>
    </row>
    <row r="705" spans="1:6" ht="12.75">
      <c r="A705" s="24"/>
      <c r="B705" s="24"/>
      <c r="C705" s="24"/>
      <c r="D705" s="25"/>
      <c r="E705" s="26"/>
      <c r="F705" s="26"/>
    </row>
    <row r="706" spans="1:6" ht="12.75">
      <c r="A706" s="24"/>
      <c r="B706" s="24"/>
      <c r="C706" s="24"/>
      <c r="D706" s="25"/>
      <c r="E706" s="26"/>
      <c r="F706" s="26"/>
    </row>
    <row r="707" spans="1:6" ht="12.75">
      <c r="A707" s="24"/>
      <c r="B707" s="24"/>
      <c r="C707" s="24"/>
      <c r="D707" s="25"/>
      <c r="E707" s="26"/>
      <c r="F707" s="26"/>
    </row>
    <row r="708" spans="1:6" ht="12.75">
      <c r="A708" s="24"/>
      <c r="B708" s="24"/>
      <c r="C708" s="24"/>
      <c r="D708" s="25"/>
      <c r="E708" s="26"/>
      <c r="F708" s="26"/>
    </row>
    <row r="709" spans="1:6" ht="12.75">
      <c r="A709" s="24"/>
      <c r="B709" s="24"/>
      <c r="C709" s="24"/>
      <c r="D709" s="25"/>
      <c r="E709" s="26"/>
      <c r="F709" s="26"/>
    </row>
    <row r="710" spans="1:6" ht="12.75">
      <c r="A710" s="24"/>
      <c r="B710" s="24"/>
      <c r="C710" s="24"/>
      <c r="D710" s="25"/>
      <c r="E710" s="26"/>
      <c r="F710" s="26"/>
    </row>
    <row r="711" spans="1:6" ht="12.75">
      <c r="A711" s="24"/>
      <c r="B711" s="24"/>
      <c r="C711" s="24"/>
      <c r="D711" s="25"/>
      <c r="E711" s="26"/>
      <c r="F711" s="26"/>
    </row>
    <row r="712" spans="1:6" ht="12.75">
      <c r="A712" s="24"/>
      <c r="B712" s="24"/>
      <c r="C712" s="24"/>
      <c r="D712" s="25"/>
      <c r="E712" s="26"/>
      <c r="F712" s="26"/>
    </row>
    <row r="713" spans="1:6" ht="12.75">
      <c r="A713" s="24"/>
      <c r="B713" s="24"/>
      <c r="C713" s="24"/>
      <c r="D713" s="25"/>
      <c r="E713" s="26"/>
      <c r="F713" s="26"/>
    </row>
    <row r="714" spans="1:6" ht="12.75">
      <c r="A714" s="24"/>
      <c r="B714" s="24"/>
      <c r="C714" s="24"/>
      <c r="D714" s="25"/>
      <c r="E714" s="26"/>
      <c r="F714" s="26"/>
    </row>
    <row r="715" spans="1:6" ht="12.75">
      <c r="A715" s="24"/>
      <c r="B715" s="24"/>
      <c r="C715" s="24"/>
      <c r="D715" s="25"/>
      <c r="E715" s="26"/>
      <c r="F715" s="26"/>
    </row>
    <row r="716" spans="1:6" ht="12.75">
      <c r="A716" s="24"/>
      <c r="B716" s="24"/>
      <c r="C716" s="24"/>
      <c r="D716" s="25"/>
      <c r="E716" s="26"/>
      <c r="F716" s="26"/>
    </row>
    <row r="717" spans="1:6" ht="12.75">
      <c r="A717" s="24"/>
      <c r="B717" s="24"/>
      <c r="C717" s="24"/>
      <c r="D717" s="25"/>
      <c r="E717" s="26"/>
      <c r="F717" s="26"/>
    </row>
    <row r="718" spans="1:6" ht="12.75">
      <c r="A718" s="24"/>
      <c r="B718" s="24"/>
      <c r="C718" s="24"/>
      <c r="D718" s="25"/>
      <c r="E718" s="26"/>
      <c r="F718" s="26"/>
    </row>
    <row r="719" spans="1:6" ht="12.75">
      <c r="A719" s="24"/>
      <c r="B719" s="24"/>
      <c r="C719" s="24"/>
      <c r="D719" s="25"/>
      <c r="E719" s="26"/>
      <c r="F719" s="26"/>
    </row>
    <row r="720" spans="1:6" ht="12.75">
      <c r="A720" s="24"/>
      <c r="B720" s="24"/>
      <c r="C720" s="24"/>
      <c r="D720" s="25"/>
      <c r="E720" s="26"/>
      <c r="F720" s="26"/>
    </row>
    <row r="721" spans="1:6" ht="12.75">
      <c r="A721" s="24"/>
      <c r="B721" s="24"/>
      <c r="C721" s="24"/>
      <c r="D721" s="25"/>
      <c r="E721" s="26"/>
      <c r="F721" s="26"/>
    </row>
    <row r="722" spans="1:6" ht="12.75">
      <c r="A722" s="24"/>
      <c r="B722" s="24"/>
      <c r="C722" s="24"/>
      <c r="D722" s="25"/>
      <c r="E722" s="26"/>
      <c r="F722" s="26"/>
    </row>
    <row r="723" spans="1:6" ht="12.75">
      <c r="A723" s="24"/>
      <c r="B723" s="24"/>
      <c r="C723" s="24"/>
      <c r="D723" s="25"/>
      <c r="E723" s="26"/>
      <c r="F723" s="26"/>
    </row>
    <row r="724" spans="1:6" ht="12.75">
      <c r="A724" s="24"/>
      <c r="B724" s="24"/>
      <c r="C724" s="24"/>
      <c r="D724" s="25"/>
      <c r="E724" s="26"/>
      <c r="F724" s="26"/>
    </row>
    <row r="725" spans="1:6" ht="12.75">
      <c r="A725" s="24"/>
      <c r="B725" s="24"/>
      <c r="C725" s="24"/>
      <c r="D725" s="25"/>
      <c r="E725" s="26"/>
      <c r="F725" s="26"/>
    </row>
    <row r="726" spans="1:6" ht="12.75">
      <c r="A726" s="24"/>
      <c r="B726" s="24"/>
      <c r="C726" s="24"/>
      <c r="D726" s="25"/>
      <c r="E726" s="26"/>
      <c r="F726" s="26"/>
    </row>
    <row r="727" spans="1:6" ht="12.75">
      <c r="A727" s="24"/>
      <c r="B727" s="24"/>
      <c r="C727" s="24"/>
      <c r="D727" s="25"/>
      <c r="E727" s="26"/>
      <c r="F727" s="26"/>
    </row>
    <row r="728" spans="1:6" ht="12.75">
      <c r="A728" s="24"/>
      <c r="B728" s="24"/>
      <c r="C728" s="24"/>
      <c r="D728" s="25"/>
      <c r="E728" s="26"/>
      <c r="F728" s="26"/>
    </row>
    <row r="729" spans="1:6" ht="12.75">
      <c r="A729" s="24"/>
      <c r="B729" s="24"/>
      <c r="C729" s="24"/>
      <c r="D729" s="25"/>
      <c r="E729" s="26"/>
      <c r="F729" s="26"/>
    </row>
    <row r="730" spans="1:6" ht="12.75">
      <c r="A730" s="24"/>
      <c r="B730" s="24"/>
      <c r="C730" s="24"/>
      <c r="D730" s="25"/>
      <c r="E730" s="26"/>
      <c r="F730" s="26"/>
    </row>
    <row r="731" spans="1:6" ht="12.75">
      <c r="A731" s="24"/>
      <c r="B731" s="24"/>
      <c r="C731" s="24"/>
      <c r="D731" s="25"/>
      <c r="E731" s="26"/>
      <c r="F731" s="26"/>
    </row>
    <row r="732" spans="1:6" ht="12.75">
      <c r="A732" s="24"/>
      <c r="B732" s="24"/>
      <c r="C732" s="24"/>
      <c r="D732" s="25"/>
      <c r="E732" s="26"/>
      <c r="F732" s="26"/>
    </row>
    <row r="733" spans="1:6" ht="12.75">
      <c r="A733" s="24"/>
      <c r="B733" s="24"/>
      <c r="C733" s="24"/>
      <c r="D733" s="25"/>
      <c r="E733" s="26"/>
      <c r="F733" s="26"/>
    </row>
    <row r="734" spans="1:6" ht="12.75">
      <c r="A734" s="24"/>
      <c r="B734" s="24"/>
      <c r="C734" s="24"/>
      <c r="D734" s="25"/>
      <c r="E734" s="26"/>
      <c r="F734" s="26"/>
    </row>
    <row r="735" spans="1:6" ht="12.75">
      <c r="A735" s="24"/>
      <c r="B735" s="24"/>
      <c r="C735" s="24"/>
      <c r="D735" s="25"/>
      <c r="E735" s="26"/>
      <c r="F735" s="26"/>
    </row>
    <row r="736" spans="1:6" ht="12.75">
      <c r="A736" s="24"/>
      <c r="B736" s="24"/>
      <c r="C736" s="24"/>
      <c r="D736" s="25"/>
      <c r="E736" s="26"/>
      <c r="F736" s="26"/>
    </row>
    <row r="737" spans="1:6" ht="12.75">
      <c r="A737" s="24"/>
      <c r="B737" s="24"/>
      <c r="C737" s="24"/>
      <c r="D737" s="25"/>
      <c r="E737" s="26"/>
      <c r="F737" s="26"/>
    </row>
    <row r="738" spans="1:6" ht="12.75">
      <c r="A738" s="24"/>
      <c r="B738" s="24"/>
      <c r="C738" s="24"/>
      <c r="D738" s="25"/>
      <c r="E738" s="26"/>
      <c r="F738" s="26"/>
    </row>
    <row r="739" spans="1:6" ht="12.75">
      <c r="A739" s="24"/>
      <c r="B739" s="24"/>
      <c r="C739" s="24"/>
      <c r="D739" s="25"/>
      <c r="E739" s="26"/>
      <c r="F739" s="26"/>
    </row>
    <row r="740" spans="1:6" ht="12.75">
      <c r="A740" s="24"/>
      <c r="B740" s="24"/>
      <c r="C740" s="24"/>
      <c r="D740" s="25"/>
      <c r="E740" s="26"/>
      <c r="F740" s="26"/>
    </row>
    <row r="741" spans="1:6" ht="12.75">
      <c r="A741" s="24"/>
      <c r="B741" s="24"/>
      <c r="C741" s="24"/>
      <c r="D741" s="25"/>
      <c r="E741" s="26"/>
      <c r="F741" s="26"/>
    </row>
    <row r="742" spans="1:6" ht="12.75">
      <c r="A742" s="24"/>
      <c r="B742" s="24"/>
      <c r="C742" s="24"/>
      <c r="D742" s="25"/>
      <c r="E742" s="26"/>
      <c r="F742" s="26"/>
    </row>
    <row r="743" spans="1:6" ht="12.75">
      <c r="A743" s="24"/>
      <c r="B743" s="24"/>
      <c r="C743" s="24"/>
      <c r="D743" s="25"/>
      <c r="E743" s="26"/>
      <c r="F743" s="26"/>
    </row>
    <row r="744" spans="1:6" ht="12.75">
      <c r="A744" s="24"/>
      <c r="B744" s="24"/>
      <c r="C744" s="24"/>
      <c r="D744" s="25"/>
      <c r="E744" s="26"/>
      <c r="F744" s="26"/>
    </row>
    <row r="745" spans="1:6" ht="12.75">
      <c r="A745" s="24"/>
      <c r="B745" s="24"/>
      <c r="C745" s="24"/>
      <c r="D745" s="25"/>
      <c r="E745" s="26"/>
      <c r="F745" s="26"/>
    </row>
    <row r="746" spans="1:6" ht="12.75">
      <c r="A746" s="24"/>
      <c r="B746" s="24"/>
      <c r="C746" s="24"/>
      <c r="D746" s="25"/>
      <c r="E746" s="26"/>
      <c r="F746" s="26"/>
    </row>
    <row r="747" spans="1:6" ht="12.75">
      <c r="A747" s="24"/>
      <c r="B747" s="24"/>
      <c r="C747" s="24"/>
      <c r="D747" s="25"/>
      <c r="E747" s="26"/>
      <c r="F747" s="26"/>
    </row>
    <row r="748" spans="1:6" ht="12.75">
      <c r="A748" s="24"/>
      <c r="B748" s="24"/>
      <c r="C748" s="24"/>
      <c r="D748" s="25"/>
      <c r="E748" s="26"/>
      <c r="F748" s="26"/>
    </row>
    <row r="749" spans="1:6" ht="12.75">
      <c r="A749" s="24"/>
      <c r="B749" s="24"/>
      <c r="C749" s="24"/>
      <c r="D749" s="25"/>
      <c r="E749" s="26"/>
      <c r="F749" s="26"/>
    </row>
    <row r="750" spans="1:6" ht="12.75">
      <c r="A750" s="24"/>
      <c r="B750" s="24"/>
      <c r="C750" s="24"/>
      <c r="D750" s="25"/>
      <c r="E750" s="26"/>
      <c r="F750" s="26"/>
    </row>
    <row r="751" spans="1:6" ht="12.75">
      <c r="A751" s="24"/>
      <c r="B751" s="24"/>
      <c r="C751" s="24"/>
      <c r="D751" s="25"/>
      <c r="E751" s="26"/>
      <c r="F751" s="26"/>
    </row>
    <row r="752" spans="1:6" ht="12.75">
      <c r="A752" s="24"/>
      <c r="B752" s="24"/>
      <c r="C752" s="24"/>
      <c r="D752" s="25"/>
      <c r="E752" s="26"/>
      <c r="F752" s="26"/>
    </row>
    <row r="753" spans="1:6" ht="12.75">
      <c r="A753" s="24"/>
      <c r="B753" s="24"/>
      <c r="C753" s="24"/>
      <c r="D753" s="25"/>
      <c r="E753" s="26"/>
      <c r="F753" s="26"/>
    </row>
    <row r="754" spans="1:6" ht="12.75">
      <c r="A754" s="24"/>
      <c r="B754" s="24"/>
      <c r="C754" s="24"/>
      <c r="D754" s="25"/>
      <c r="E754" s="26"/>
      <c r="F754" s="26"/>
    </row>
    <row r="755" spans="1:6" ht="12.75">
      <c r="A755" s="24"/>
      <c r="B755" s="24"/>
      <c r="C755" s="24"/>
      <c r="D755" s="25"/>
      <c r="E755" s="26"/>
      <c r="F755" s="26"/>
    </row>
    <row r="756" spans="1:6" ht="12.75">
      <c r="A756" s="24"/>
      <c r="B756" s="24"/>
      <c r="C756" s="24"/>
      <c r="D756" s="25"/>
      <c r="E756" s="26"/>
      <c r="F756" s="26"/>
    </row>
    <row r="757" spans="1:6" ht="12.75">
      <c r="A757" s="24"/>
      <c r="B757" s="24"/>
      <c r="C757" s="24"/>
      <c r="D757" s="25"/>
      <c r="E757" s="26"/>
      <c r="F757" s="26"/>
    </row>
    <row r="758" spans="1:6" ht="12.75">
      <c r="A758" s="24"/>
      <c r="B758" s="24"/>
      <c r="C758" s="24"/>
      <c r="D758" s="25"/>
      <c r="E758" s="26"/>
      <c r="F758" s="26"/>
    </row>
    <row r="759" spans="1:6" ht="12.75">
      <c r="A759" s="24"/>
      <c r="B759" s="24"/>
      <c r="C759" s="24"/>
      <c r="D759" s="25"/>
      <c r="E759" s="26"/>
      <c r="F759" s="26"/>
    </row>
    <row r="760" spans="1:6" ht="12.75">
      <c r="A760" s="24"/>
      <c r="B760" s="24"/>
      <c r="C760" s="24"/>
      <c r="D760" s="25"/>
      <c r="E760" s="26"/>
      <c r="F760" s="26"/>
    </row>
    <row r="761" spans="1:6" ht="12.75">
      <c r="A761" s="24"/>
      <c r="B761" s="24"/>
      <c r="C761" s="24"/>
      <c r="D761" s="25"/>
      <c r="E761" s="26"/>
      <c r="F761" s="26"/>
    </row>
    <row r="762" spans="1:6" ht="12.75">
      <c r="A762" s="24"/>
      <c r="B762" s="24"/>
      <c r="C762" s="24"/>
      <c r="D762" s="25"/>
      <c r="E762" s="26"/>
      <c r="F762" s="26"/>
    </row>
    <row r="763" spans="1:6" ht="12.75">
      <c r="A763" s="24"/>
      <c r="B763" s="24"/>
      <c r="C763" s="24"/>
      <c r="D763" s="25"/>
      <c r="E763" s="26"/>
      <c r="F763" s="26"/>
    </row>
    <row r="764" spans="1:6" ht="12.75">
      <c r="A764" s="24"/>
      <c r="B764" s="24"/>
      <c r="C764" s="24"/>
      <c r="D764" s="25"/>
      <c r="E764" s="26"/>
      <c r="F764" s="26"/>
    </row>
    <row r="765" spans="1:6" ht="12.75">
      <c r="A765" s="24"/>
      <c r="B765" s="24"/>
      <c r="C765" s="24"/>
      <c r="D765" s="25"/>
      <c r="E765" s="26"/>
      <c r="F765" s="26"/>
    </row>
    <row r="766" spans="1:6" ht="12.75">
      <c r="A766" s="24"/>
      <c r="B766" s="24"/>
      <c r="C766" s="24"/>
      <c r="D766" s="25"/>
      <c r="E766" s="26"/>
      <c r="F766" s="26"/>
    </row>
    <row r="767" spans="1:6" ht="12.75">
      <c r="A767" s="24"/>
      <c r="B767" s="24"/>
      <c r="C767" s="24"/>
      <c r="D767" s="25"/>
      <c r="E767" s="26"/>
      <c r="F767" s="26"/>
    </row>
    <row r="768" spans="1:6" ht="12.75">
      <c r="A768" s="24"/>
      <c r="B768" s="24"/>
      <c r="C768" s="24"/>
      <c r="D768" s="25"/>
      <c r="E768" s="26"/>
      <c r="F768" s="26"/>
    </row>
    <row r="769" spans="1:6" ht="12.75">
      <c r="A769" s="24"/>
      <c r="B769" s="24"/>
      <c r="C769" s="24"/>
      <c r="D769" s="25"/>
      <c r="E769" s="26"/>
      <c r="F769" s="26"/>
    </row>
    <row r="770" spans="1:6" ht="12.75">
      <c r="A770" s="24"/>
      <c r="B770" s="24"/>
      <c r="C770" s="24"/>
      <c r="D770" s="25"/>
      <c r="E770" s="26"/>
      <c r="F770" s="26"/>
    </row>
    <row r="771" spans="1:6" ht="12.75">
      <c r="A771" s="24"/>
      <c r="B771" s="24"/>
      <c r="C771" s="24"/>
      <c r="D771" s="25"/>
      <c r="E771" s="26"/>
      <c r="F771" s="26"/>
    </row>
    <row r="772" spans="1:6" ht="12.75">
      <c r="A772" s="24"/>
      <c r="B772" s="24"/>
      <c r="C772" s="24"/>
      <c r="D772" s="25"/>
      <c r="E772" s="26"/>
      <c r="F772" s="26"/>
    </row>
    <row r="773" spans="1:6" ht="12.75">
      <c r="A773" s="24"/>
      <c r="B773" s="24"/>
      <c r="C773" s="24"/>
      <c r="D773" s="25"/>
      <c r="E773" s="26"/>
      <c r="F773" s="26"/>
    </row>
    <row r="774" spans="1:6" ht="12.75">
      <c r="A774" s="24"/>
      <c r="B774" s="24"/>
      <c r="C774" s="24"/>
      <c r="D774" s="25"/>
      <c r="E774" s="26"/>
      <c r="F774" s="26"/>
    </row>
    <row r="775" spans="1:6" ht="12.75">
      <c r="A775" s="24"/>
      <c r="B775" s="24"/>
      <c r="C775" s="24"/>
      <c r="D775" s="25"/>
      <c r="E775" s="26"/>
      <c r="F775" s="26"/>
    </row>
    <row r="776" spans="1:6" ht="12.75">
      <c r="A776" s="24"/>
      <c r="B776" s="24"/>
      <c r="C776" s="24"/>
      <c r="D776" s="25"/>
      <c r="E776" s="26"/>
      <c r="F776" s="26"/>
    </row>
    <row r="777" spans="1:6" ht="12.75">
      <c r="A777" s="24"/>
      <c r="B777" s="24"/>
      <c r="C777" s="24"/>
      <c r="D777" s="25"/>
      <c r="E777" s="26"/>
      <c r="F777" s="26"/>
    </row>
    <row r="778" spans="1:6" ht="12.75">
      <c r="A778" s="24"/>
      <c r="B778" s="24"/>
      <c r="C778" s="24"/>
      <c r="D778" s="25"/>
      <c r="E778" s="26"/>
      <c r="F778" s="26"/>
    </row>
    <row r="779" spans="1:6" ht="12.75">
      <c r="A779" s="24"/>
      <c r="B779" s="24"/>
      <c r="C779" s="24"/>
      <c r="D779" s="25"/>
      <c r="E779" s="26"/>
      <c r="F779" s="26"/>
    </row>
    <row r="780" spans="1:6" ht="12.75">
      <c r="A780" s="24"/>
      <c r="B780" s="24"/>
      <c r="C780" s="24"/>
      <c r="D780" s="25"/>
      <c r="E780" s="26"/>
      <c r="F780" s="26"/>
    </row>
    <row r="781" spans="1:6" ht="12.75">
      <c r="A781" s="24"/>
      <c r="B781" s="24"/>
      <c r="C781" s="24"/>
      <c r="D781" s="25"/>
      <c r="E781" s="26"/>
      <c r="F781" s="26"/>
    </row>
    <row r="782" spans="1:6" ht="12.75">
      <c r="A782" s="24"/>
      <c r="B782" s="24"/>
      <c r="C782" s="24"/>
      <c r="D782" s="25"/>
      <c r="E782" s="26"/>
      <c r="F782" s="26"/>
    </row>
    <row r="783" spans="1:6" ht="12.75">
      <c r="A783" s="24"/>
      <c r="B783" s="24"/>
      <c r="C783" s="24"/>
      <c r="D783" s="25"/>
      <c r="E783" s="26"/>
      <c r="F783" s="26"/>
    </row>
    <row r="784" spans="1:6" ht="12.75">
      <c r="A784" s="24"/>
      <c r="B784" s="24"/>
      <c r="C784" s="24"/>
      <c r="D784" s="25"/>
      <c r="E784" s="26"/>
      <c r="F784" s="26"/>
    </row>
    <row r="785" spans="1:6" ht="12.75">
      <c r="A785" s="24"/>
      <c r="B785" s="24"/>
      <c r="C785" s="24"/>
      <c r="D785" s="25"/>
      <c r="E785" s="26"/>
      <c r="F785" s="26"/>
    </row>
    <row r="786" spans="1:6" ht="12.75">
      <c r="A786" s="24"/>
      <c r="B786" s="24"/>
      <c r="C786" s="24"/>
      <c r="D786" s="25"/>
      <c r="E786" s="26"/>
      <c r="F786" s="26"/>
    </row>
    <row r="787" spans="1:6" ht="12.75">
      <c r="A787" s="24"/>
      <c r="B787" s="24"/>
      <c r="C787" s="24"/>
      <c r="D787" s="25"/>
      <c r="E787" s="26"/>
      <c r="F787" s="26"/>
    </row>
    <row r="788" spans="1:6" ht="12.75">
      <c r="A788" s="24"/>
      <c r="B788" s="24"/>
      <c r="C788" s="24"/>
      <c r="D788" s="25"/>
      <c r="E788" s="26"/>
      <c r="F788" s="26"/>
    </row>
    <row r="789" spans="1:6" ht="12.75">
      <c r="A789" s="24"/>
      <c r="B789" s="24"/>
      <c r="C789" s="24"/>
      <c r="D789" s="25"/>
      <c r="E789" s="26"/>
      <c r="F789" s="26"/>
    </row>
    <row r="790" spans="1:6" ht="12.75">
      <c r="A790" s="24"/>
      <c r="B790" s="24"/>
      <c r="C790" s="24"/>
      <c r="D790" s="25"/>
      <c r="E790" s="26"/>
      <c r="F790" s="26"/>
    </row>
    <row r="791" spans="1:6" ht="12.75">
      <c r="A791" s="24"/>
      <c r="B791" s="24"/>
      <c r="C791" s="24"/>
      <c r="D791" s="25"/>
      <c r="E791" s="26"/>
      <c r="F791" s="26"/>
    </row>
    <row r="792" spans="1:6" ht="12.75">
      <c r="A792" s="24"/>
      <c r="B792" s="24"/>
      <c r="C792" s="24"/>
      <c r="D792" s="25"/>
      <c r="E792" s="26"/>
      <c r="F792" s="26"/>
    </row>
    <row r="793" spans="1:6" ht="12.75">
      <c r="A793" s="24"/>
      <c r="B793" s="24"/>
      <c r="C793" s="24"/>
      <c r="D793" s="25"/>
      <c r="E793" s="26"/>
      <c r="F793" s="26"/>
    </row>
    <row r="794" spans="1:6" ht="12.75">
      <c r="A794" s="24"/>
      <c r="B794" s="24"/>
      <c r="C794" s="24"/>
      <c r="D794" s="25"/>
      <c r="E794" s="26"/>
      <c r="F794" s="26"/>
    </row>
    <row r="795" spans="1:6" ht="12.75">
      <c r="A795" s="24"/>
      <c r="B795" s="24"/>
      <c r="C795" s="24"/>
      <c r="D795" s="25"/>
      <c r="E795" s="26"/>
      <c r="F795" s="26"/>
    </row>
    <row r="796" spans="1:6" ht="12.75">
      <c r="A796" s="24"/>
      <c r="B796" s="24"/>
      <c r="C796" s="24"/>
      <c r="D796" s="25"/>
      <c r="E796" s="26"/>
      <c r="F796" s="26"/>
    </row>
    <row r="797" spans="1:6" ht="12.75">
      <c r="A797" s="24"/>
      <c r="B797" s="24"/>
      <c r="C797" s="24"/>
      <c r="D797" s="25"/>
      <c r="E797" s="26"/>
      <c r="F797" s="26"/>
    </row>
    <row r="798" spans="1:6" ht="12.75">
      <c r="A798" s="24"/>
      <c r="B798" s="24"/>
      <c r="C798" s="24"/>
      <c r="D798" s="25"/>
      <c r="E798" s="26"/>
      <c r="F798" s="26"/>
    </row>
    <row r="799" spans="1:6" ht="12.75">
      <c r="A799" s="24"/>
      <c r="B799" s="24"/>
      <c r="C799" s="24"/>
      <c r="D799" s="25"/>
      <c r="E799" s="26"/>
      <c r="F799" s="26"/>
    </row>
    <row r="800" spans="1:6" ht="12.75">
      <c r="A800" s="24"/>
      <c r="B800" s="24"/>
      <c r="C800" s="24"/>
      <c r="D800" s="25"/>
      <c r="E800" s="26"/>
      <c r="F800" s="26"/>
    </row>
    <row r="801" spans="1:6" ht="12.75">
      <c r="A801" s="24"/>
      <c r="B801" s="24"/>
      <c r="C801" s="24"/>
      <c r="D801" s="25"/>
      <c r="E801" s="26"/>
      <c r="F801" s="26"/>
    </row>
    <row r="802" spans="1:6" ht="12.75">
      <c r="A802" s="24"/>
      <c r="B802" s="24"/>
      <c r="C802" s="24"/>
      <c r="D802" s="25"/>
      <c r="E802" s="26"/>
      <c r="F802" s="26"/>
    </row>
    <row r="803" spans="1:6" ht="12.75">
      <c r="A803" s="24"/>
      <c r="B803" s="24"/>
      <c r="C803" s="24"/>
      <c r="D803" s="25"/>
      <c r="E803" s="26"/>
      <c r="F803" s="26"/>
    </row>
    <row r="804" spans="1:6" ht="12.75">
      <c r="A804" s="24"/>
      <c r="B804" s="24"/>
      <c r="C804" s="24"/>
      <c r="D804" s="25"/>
      <c r="E804" s="26"/>
      <c r="F804" s="26"/>
    </row>
    <row r="805" spans="1:6" ht="12.75">
      <c r="A805" s="24"/>
      <c r="B805" s="24"/>
      <c r="C805" s="24"/>
      <c r="D805" s="25"/>
      <c r="E805" s="26"/>
      <c r="F805" s="26"/>
    </row>
    <row r="806" spans="1:6" ht="12.75">
      <c r="A806" s="24"/>
      <c r="B806" s="24"/>
      <c r="C806" s="24"/>
      <c r="D806" s="25"/>
      <c r="E806" s="26"/>
      <c r="F806" s="26"/>
    </row>
    <row r="807" spans="1:6" ht="12.75">
      <c r="A807" s="24"/>
      <c r="B807" s="24"/>
      <c r="C807" s="24"/>
      <c r="D807" s="25"/>
      <c r="E807" s="26"/>
      <c r="F807" s="26"/>
    </row>
    <row r="808" spans="1:6" ht="12.75">
      <c r="A808" s="24"/>
      <c r="B808" s="24"/>
      <c r="C808" s="24"/>
      <c r="D808" s="25"/>
      <c r="E808" s="26"/>
      <c r="F808" s="26"/>
    </row>
    <row r="809" spans="1:6" ht="12.75">
      <c r="A809" s="24"/>
      <c r="B809" s="24"/>
      <c r="C809" s="24"/>
      <c r="D809" s="25"/>
      <c r="E809" s="26"/>
      <c r="F809" s="26"/>
    </row>
    <row r="810" spans="1:6" ht="12.75">
      <c r="A810" s="24"/>
      <c r="B810" s="24"/>
      <c r="C810" s="24"/>
      <c r="D810" s="25"/>
      <c r="E810" s="26"/>
      <c r="F810" s="26"/>
    </row>
    <row r="811" spans="1:6" ht="12.75">
      <c r="A811" s="24"/>
      <c r="B811" s="24"/>
      <c r="C811" s="24"/>
      <c r="D811" s="25"/>
      <c r="E811" s="26"/>
      <c r="F811" s="26"/>
    </row>
    <row r="812" spans="1:6" ht="12.75">
      <c r="A812" s="24"/>
      <c r="B812" s="24"/>
      <c r="C812" s="24"/>
      <c r="D812" s="25"/>
      <c r="E812" s="26"/>
      <c r="F812" s="26"/>
    </row>
    <row r="813" spans="1:6" ht="12.75">
      <c r="A813" s="24"/>
      <c r="B813" s="24"/>
      <c r="C813" s="24"/>
      <c r="D813" s="25"/>
      <c r="E813" s="26"/>
      <c r="F813" s="26"/>
    </row>
    <row r="814" spans="1:6" ht="12.75">
      <c r="A814" s="24"/>
      <c r="B814" s="24"/>
      <c r="C814" s="24"/>
      <c r="D814" s="25"/>
      <c r="E814" s="26"/>
      <c r="F814" s="26"/>
    </row>
    <row r="815" spans="1:6" ht="12.75">
      <c r="A815" s="24"/>
      <c r="B815" s="24"/>
      <c r="C815" s="24"/>
      <c r="D815" s="25"/>
      <c r="E815" s="26"/>
      <c r="F815" s="26"/>
    </row>
    <row r="816" spans="1:6" ht="12.75">
      <c r="A816" s="24"/>
      <c r="B816" s="24"/>
      <c r="C816" s="24"/>
      <c r="D816" s="25"/>
      <c r="E816" s="26"/>
      <c r="F816" s="26"/>
    </row>
    <row r="817" spans="1:6" ht="12.75">
      <c r="A817" s="24"/>
      <c r="B817" s="24"/>
      <c r="C817" s="24"/>
      <c r="D817" s="25"/>
      <c r="E817" s="26"/>
      <c r="F817" s="26"/>
    </row>
    <row r="818" spans="1:6" ht="12.75">
      <c r="A818" s="24"/>
      <c r="B818" s="24"/>
      <c r="C818" s="24"/>
      <c r="D818" s="25"/>
      <c r="E818" s="26"/>
      <c r="F818" s="26"/>
    </row>
    <row r="819" spans="1:6" ht="12.75">
      <c r="A819" s="24"/>
      <c r="B819" s="24"/>
      <c r="C819" s="24"/>
      <c r="D819" s="25"/>
      <c r="E819" s="26"/>
      <c r="F819" s="26"/>
    </row>
    <row r="820" spans="1:6" ht="12.75">
      <c r="A820" s="24"/>
      <c r="B820" s="24"/>
      <c r="C820" s="24"/>
      <c r="D820" s="25"/>
      <c r="E820" s="26"/>
      <c r="F820" s="26"/>
    </row>
    <row r="821" spans="1:6" ht="12.75">
      <c r="A821" s="24"/>
      <c r="B821" s="24"/>
      <c r="C821" s="24"/>
      <c r="D821" s="25"/>
      <c r="E821" s="26"/>
      <c r="F821" s="26"/>
    </row>
    <row r="822" spans="1:6" ht="12.75">
      <c r="A822" s="24"/>
      <c r="B822" s="24"/>
      <c r="C822" s="24"/>
      <c r="D822" s="25"/>
      <c r="E822" s="26"/>
      <c r="F822" s="26"/>
    </row>
    <row r="823" spans="1:6" ht="12.75">
      <c r="A823" s="24"/>
      <c r="B823" s="24"/>
      <c r="C823" s="24"/>
      <c r="D823" s="25"/>
      <c r="E823" s="26"/>
      <c r="F823" s="26"/>
    </row>
    <row r="824" spans="1:6" ht="12.75">
      <c r="A824" s="24"/>
      <c r="B824" s="24"/>
      <c r="C824" s="24"/>
      <c r="D824" s="25"/>
      <c r="E824" s="26"/>
      <c r="F824" s="26"/>
    </row>
    <row r="825" spans="1:6" ht="12.75">
      <c r="A825" s="24"/>
      <c r="B825" s="24"/>
      <c r="C825" s="24"/>
      <c r="D825" s="25"/>
      <c r="E825" s="26"/>
      <c r="F825" s="26"/>
    </row>
    <row r="826" spans="1:6" ht="12.75">
      <c r="A826" s="24"/>
      <c r="B826" s="24"/>
      <c r="C826" s="24"/>
      <c r="D826" s="25"/>
      <c r="E826" s="26"/>
      <c r="F826" s="26"/>
    </row>
    <row r="827" spans="1:6" ht="12.75">
      <c r="A827" s="24"/>
      <c r="B827" s="24"/>
      <c r="C827" s="24"/>
      <c r="D827" s="25"/>
      <c r="E827" s="26"/>
      <c r="F827" s="26"/>
    </row>
    <row r="828" spans="1:6" ht="12.75">
      <c r="A828" s="24"/>
      <c r="B828" s="24"/>
      <c r="C828" s="24"/>
      <c r="D828" s="25"/>
      <c r="E828" s="26"/>
      <c r="F828" s="26"/>
    </row>
    <row r="829" spans="1:6" ht="12.75">
      <c r="A829" s="24"/>
      <c r="B829" s="24"/>
      <c r="C829" s="24"/>
      <c r="D829" s="25"/>
      <c r="E829" s="26"/>
      <c r="F829" s="26"/>
    </row>
    <row r="830" spans="1:6" ht="12.75">
      <c r="A830" s="24"/>
      <c r="B830" s="24"/>
      <c r="C830" s="24"/>
      <c r="D830" s="25"/>
      <c r="E830" s="26"/>
      <c r="F830" s="26"/>
    </row>
    <row r="831" spans="1:6" ht="12.75">
      <c r="A831" s="24"/>
      <c r="B831" s="24"/>
      <c r="C831" s="24"/>
      <c r="D831" s="25"/>
      <c r="E831" s="26"/>
      <c r="F831" s="26"/>
    </row>
    <row r="832" spans="1:6" ht="12.75">
      <c r="A832" s="24"/>
      <c r="B832" s="24"/>
      <c r="C832" s="24"/>
      <c r="D832" s="25"/>
      <c r="E832" s="26"/>
      <c r="F832" s="26"/>
    </row>
    <row r="833" spans="1:6" ht="12.75">
      <c r="A833" s="24"/>
      <c r="B833" s="24"/>
      <c r="C833" s="24"/>
      <c r="D833" s="25"/>
      <c r="E833" s="26"/>
      <c r="F833" s="26"/>
    </row>
    <row r="834" spans="1:6" ht="12.75">
      <c r="A834" s="24"/>
      <c r="B834" s="24"/>
      <c r="C834" s="24"/>
      <c r="D834" s="25"/>
      <c r="E834" s="26"/>
      <c r="F834" s="26"/>
    </row>
    <row r="835" spans="1:6" ht="12.75">
      <c r="A835" s="24"/>
      <c r="B835" s="24"/>
      <c r="C835" s="24"/>
      <c r="D835" s="25"/>
      <c r="E835" s="26"/>
      <c r="F835" s="26"/>
    </row>
    <row r="836" spans="1:6" ht="12.75">
      <c r="A836" s="24"/>
      <c r="B836" s="24"/>
      <c r="C836" s="24"/>
      <c r="D836" s="25"/>
      <c r="E836" s="26"/>
      <c r="F836" s="26"/>
    </row>
    <row r="837" spans="1:6" ht="12.75">
      <c r="A837" s="24"/>
      <c r="B837" s="24"/>
      <c r="C837" s="24"/>
      <c r="D837" s="25"/>
      <c r="E837" s="26"/>
      <c r="F837" s="26"/>
    </row>
    <row r="838" spans="1:6" ht="12.75">
      <c r="A838" s="24"/>
      <c r="B838" s="24"/>
      <c r="C838" s="24"/>
      <c r="D838" s="25"/>
      <c r="E838" s="26"/>
      <c r="F838" s="26"/>
    </row>
    <row r="839" spans="1:6" ht="12.75">
      <c r="A839" s="24"/>
      <c r="B839" s="24"/>
      <c r="C839" s="24"/>
      <c r="D839" s="25"/>
      <c r="E839" s="26"/>
      <c r="F839" s="26"/>
    </row>
    <row r="840" spans="1:6" ht="12.75">
      <c r="A840" s="24"/>
      <c r="B840" s="24"/>
      <c r="C840" s="24"/>
      <c r="D840" s="25"/>
      <c r="E840" s="26"/>
      <c r="F840" s="26"/>
    </row>
    <row r="841" spans="1:6" ht="12.75">
      <c r="A841" s="24"/>
      <c r="B841" s="24"/>
      <c r="C841" s="24"/>
      <c r="D841" s="25"/>
      <c r="E841" s="26"/>
      <c r="F841" s="26"/>
    </row>
    <row r="842" spans="1:6" ht="12.75">
      <c r="A842" s="24"/>
      <c r="B842" s="24"/>
      <c r="C842" s="24"/>
      <c r="D842" s="25"/>
      <c r="E842" s="26"/>
      <c r="F842" s="26"/>
    </row>
    <row r="843" spans="1:6" ht="12.75">
      <c r="A843" s="24"/>
      <c r="B843" s="24"/>
      <c r="C843" s="24"/>
      <c r="D843" s="25"/>
      <c r="E843" s="26"/>
      <c r="F843" s="26"/>
    </row>
    <row r="844" spans="1:6" ht="12.75">
      <c r="A844" s="24"/>
      <c r="B844" s="24"/>
      <c r="C844" s="24"/>
      <c r="D844" s="25"/>
      <c r="E844" s="26"/>
      <c r="F844" s="26"/>
    </row>
    <row r="845" spans="1:6" ht="12.75">
      <c r="A845" s="24"/>
      <c r="B845" s="24"/>
      <c r="C845" s="24"/>
      <c r="D845" s="25"/>
      <c r="E845" s="26"/>
      <c r="F845" s="26"/>
    </row>
    <row r="846" spans="1:6" ht="12.75">
      <c r="A846" s="24"/>
      <c r="B846" s="24"/>
      <c r="C846" s="24"/>
      <c r="D846" s="25"/>
      <c r="E846" s="26"/>
      <c r="F846" s="26"/>
    </row>
    <row r="847" spans="1:6" ht="12.75">
      <c r="A847" s="24"/>
      <c r="B847" s="24"/>
      <c r="C847" s="24"/>
      <c r="D847" s="25"/>
      <c r="E847" s="26"/>
      <c r="F847" s="26"/>
    </row>
    <row r="848" spans="1:6" ht="12.75">
      <c r="A848" s="24"/>
      <c r="B848" s="24"/>
      <c r="C848" s="24"/>
      <c r="D848" s="25"/>
      <c r="E848" s="26"/>
      <c r="F848" s="26"/>
    </row>
    <row r="849" spans="1:6" ht="12.75">
      <c r="A849" s="24"/>
      <c r="B849" s="24"/>
      <c r="C849" s="24"/>
      <c r="D849" s="25"/>
      <c r="E849" s="26"/>
      <c r="F849" s="26"/>
    </row>
    <row r="850" spans="1:6" ht="12.75">
      <c r="A850" s="24"/>
      <c r="B850" s="24"/>
      <c r="C850" s="24"/>
      <c r="D850" s="25"/>
      <c r="E850" s="26"/>
      <c r="F850" s="26"/>
    </row>
    <row r="851" spans="1:6" ht="12.75">
      <c r="A851" s="24"/>
      <c r="B851" s="24"/>
      <c r="C851" s="24"/>
      <c r="D851" s="25"/>
      <c r="E851" s="26"/>
      <c r="F851" s="26"/>
    </row>
    <row r="852" spans="1:6" ht="12.75">
      <c r="A852" s="24"/>
      <c r="B852" s="24"/>
      <c r="C852" s="24"/>
      <c r="D852" s="25"/>
      <c r="E852" s="26"/>
      <c r="F852" s="26"/>
    </row>
    <row r="853" spans="1:6" ht="12.75">
      <c r="A853" s="24"/>
      <c r="B853" s="24"/>
      <c r="C853" s="24"/>
      <c r="D853" s="25"/>
      <c r="E853" s="26"/>
      <c r="F853" s="26"/>
    </row>
    <row r="854" spans="1:6" ht="12.75">
      <c r="A854" s="24"/>
      <c r="B854" s="24"/>
      <c r="C854" s="24"/>
      <c r="D854" s="25"/>
      <c r="E854" s="26"/>
      <c r="F854" s="26"/>
    </row>
    <row r="855" spans="1:6" ht="12.75">
      <c r="A855" s="24"/>
      <c r="B855" s="24"/>
      <c r="C855" s="24"/>
      <c r="D855" s="25"/>
      <c r="E855" s="26"/>
      <c r="F855" s="26"/>
    </row>
    <row r="856" spans="1:6" ht="12.75">
      <c r="A856" s="24"/>
      <c r="B856" s="24"/>
      <c r="C856" s="24"/>
      <c r="D856" s="25"/>
      <c r="E856" s="26"/>
      <c r="F856" s="26"/>
    </row>
    <row r="857" spans="1:6" ht="12.75">
      <c r="A857" s="24"/>
      <c r="B857" s="24"/>
      <c r="C857" s="24"/>
      <c r="D857" s="25"/>
      <c r="E857" s="26"/>
      <c r="F857" s="26"/>
    </row>
    <row r="858" spans="1:6" ht="12.75">
      <c r="A858" s="24"/>
      <c r="B858" s="24"/>
      <c r="C858" s="24"/>
      <c r="D858" s="25"/>
      <c r="E858" s="26"/>
      <c r="F858" s="26"/>
    </row>
    <row r="859" spans="1:6" ht="12.75">
      <c r="A859" s="24"/>
      <c r="B859" s="24"/>
      <c r="C859" s="24"/>
      <c r="D859" s="25"/>
      <c r="E859" s="26"/>
      <c r="F859" s="26"/>
    </row>
    <row r="860" spans="1:6" ht="12.75">
      <c r="A860" s="24"/>
      <c r="B860" s="24"/>
      <c r="C860" s="24"/>
      <c r="D860" s="25"/>
      <c r="E860" s="26"/>
      <c r="F860" s="26"/>
    </row>
    <row r="861" spans="1:6" ht="12.75">
      <c r="A861" s="24"/>
      <c r="B861" s="24"/>
      <c r="C861" s="24"/>
      <c r="D861" s="25"/>
      <c r="E861" s="26"/>
      <c r="F861" s="26"/>
    </row>
    <row r="862" spans="1:6" ht="12.75">
      <c r="A862" s="24"/>
      <c r="B862" s="24"/>
      <c r="C862" s="24"/>
      <c r="D862" s="25"/>
      <c r="E862" s="26"/>
      <c r="F862" s="26"/>
    </row>
    <row r="863" spans="1:6" ht="12.75">
      <c r="A863" s="24"/>
      <c r="B863" s="24"/>
      <c r="C863" s="24"/>
      <c r="D863" s="25"/>
      <c r="E863" s="26"/>
      <c r="F863" s="26"/>
    </row>
    <row r="864" spans="1:6" ht="12.75">
      <c r="A864" s="24"/>
      <c r="B864" s="24"/>
      <c r="C864" s="24"/>
      <c r="D864" s="25"/>
      <c r="E864" s="26"/>
      <c r="F864" s="26"/>
    </row>
    <row r="865" spans="1:6" ht="12.75">
      <c r="A865" s="24"/>
      <c r="B865" s="24"/>
      <c r="C865" s="24"/>
      <c r="D865" s="25"/>
      <c r="E865" s="26"/>
      <c r="F865" s="26"/>
    </row>
    <row r="866" spans="1:6" ht="12.75">
      <c r="A866" s="24"/>
      <c r="B866" s="24"/>
      <c r="C866" s="24"/>
      <c r="D866" s="25"/>
      <c r="E866" s="26"/>
      <c r="F866" s="26"/>
    </row>
    <row r="867" spans="1:6" ht="12.75">
      <c r="A867" s="24"/>
      <c r="B867" s="24"/>
      <c r="C867" s="24"/>
      <c r="D867" s="25"/>
      <c r="E867" s="26"/>
      <c r="F867" s="26"/>
    </row>
    <row r="868" spans="1:6" ht="12.75">
      <c r="A868" s="24"/>
      <c r="B868" s="24"/>
      <c r="C868" s="24"/>
      <c r="D868" s="25"/>
      <c r="E868" s="26"/>
      <c r="F868" s="26"/>
    </row>
    <row r="869" spans="1:6" ht="12.75">
      <c r="A869" s="24"/>
      <c r="B869" s="24"/>
      <c r="C869" s="24"/>
      <c r="D869" s="25"/>
      <c r="E869" s="26"/>
      <c r="F869" s="26"/>
    </row>
    <row r="870" spans="1:6" ht="12.75">
      <c r="A870" s="24"/>
      <c r="B870" s="24"/>
      <c r="C870" s="24"/>
      <c r="D870" s="25"/>
      <c r="E870" s="26"/>
      <c r="F870" s="26"/>
    </row>
    <row r="871" spans="1:6" ht="12.75">
      <c r="A871" s="24"/>
      <c r="B871" s="24"/>
      <c r="C871" s="24"/>
      <c r="D871" s="25"/>
      <c r="E871" s="26"/>
      <c r="F871" s="26"/>
    </row>
    <row r="872" spans="1:6" ht="12.75">
      <c r="A872" s="24"/>
      <c r="B872" s="24"/>
      <c r="C872" s="24"/>
      <c r="D872" s="25"/>
      <c r="E872" s="26"/>
      <c r="F872" s="26"/>
    </row>
    <row r="873" spans="1:6" ht="12.75">
      <c r="A873" s="24"/>
      <c r="B873" s="24"/>
      <c r="C873" s="24"/>
      <c r="D873" s="25"/>
      <c r="E873" s="26"/>
      <c r="F873" s="26"/>
    </row>
    <row r="874" spans="1:6" ht="12.75">
      <c r="A874" s="24"/>
      <c r="B874" s="24"/>
      <c r="C874" s="24"/>
      <c r="D874" s="25"/>
      <c r="E874" s="26"/>
      <c r="F874" s="26"/>
    </row>
    <row r="875" spans="1:6" ht="12.75">
      <c r="A875" s="24"/>
      <c r="B875" s="24"/>
      <c r="C875" s="24"/>
      <c r="D875" s="25"/>
      <c r="E875" s="26"/>
      <c r="F875" s="26"/>
    </row>
    <row r="876" spans="1:6" ht="12.75">
      <c r="A876" s="24"/>
      <c r="B876" s="24"/>
      <c r="C876" s="24"/>
      <c r="D876" s="25"/>
      <c r="E876" s="26"/>
      <c r="F876" s="26"/>
    </row>
    <row r="877" spans="1:6" ht="12.75">
      <c r="A877" s="24"/>
      <c r="B877" s="24"/>
      <c r="C877" s="24"/>
      <c r="D877" s="25"/>
      <c r="E877" s="26"/>
      <c r="F877" s="26"/>
    </row>
    <row r="878" spans="1:6" ht="12.75">
      <c r="A878" s="24"/>
      <c r="B878" s="24"/>
      <c r="C878" s="24"/>
      <c r="D878" s="25"/>
      <c r="E878" s="26"/>
      <c r="F878" s="26"/>
    </row>
    <row r="879" spans="1:6" ht="12.75">
      <c r="A879" s="24"/>
      <c r="B879" s="24"/>
      <c r="C879" s="24"/>
      <c r="D879" s="25"/>
      <c r="E879" s="26"/>
      <c r="F879" s="26"/>
    </row>
    <row r="880" spans="1:6" ht="12.75">
      <c r="A880" s="24"/>
      <c r="B880" s="24"/>
      <c r="C880" s="24"/>
      <c r="D880" s="25"/>
      <c r="E880" s="26"/>
      <c r="F880" s="26"/>
    </row>
    <row r="881" spans="1:6" ht="12.75">
      <c r="A881" s="24"/>
      <c r="B881" s="24"/>
      <c r="C881" s="24"/>
      <c r="D881" s="25"/>
      <c r="E881" s="26"/>
      <c r="F881" s="26"/>
    </row>
    <row r="882" spans="1:6" ht="12.75">
      <c r="A882" s="24"/>
      <c r="B882" s="24"/>
      <c r="C882" s="24"/>
      <c r="D882" s="25"/>
      <c r="E882" s="26"/>
      <c r="F882" s="26"/>
    </row>
    <row r="883" spans="1:6" ht="12.75">
      <c r="A883" s="24"/>
      <c r="B883" s="24"/>
      <c r="C883" s="24"/>
      <c r="D883" s="25"/>
      <c r="E883" s="26"/>
      <c r="F883" s="26"/>
    </row>
    <row r="884" spans="1:6" ht="12.75">
      <c r="A884" s="24"/>
      <c r="B884" s="24"/>
      <c r="C884" s="24"/>
      <c r="D884" s="25"/>
      <c r="E884" s="26"/>
      <c r="F884" s="26"/>
    </row>
    <row r="885" spans="1:6" ht="12.75">
      <c r="A885" s="24"/>
      <c r="B885" s="24"/>
      <c r="C885" s="24"/>
      <c r="D885" s="25"/>
      <c r="E885" s="26"/>
      <c r="F885" s="26"/>
    </row>
    <row r="886" spans="1:6" ht="12.75">
      <c r="A886" s="24"/>
      <c r="B886" s="24"/>
      <c r="C886" s="24"/>
      <c r="D886" s="25"/>
      <c r="E886" s="26"/>
      <c r="F886" s="26"/>
    </row>
    <row r="887" spans="1:6" ht="12.75">
      <c r="A887" s="24"/>
      <c r="B887" s="24"/>
      <c r="C887" s="24"/>
      <c r="D887" s="25"/>
      <c r="E887" s="26"/>
      <c r="F887" s="26"/>
    </row>
    <row r="888" spans="1:6" ht="12.75">
      <c r="A888" s="24"/>
      <c r="B888" s="24"/>
      <c r="C888" s="24"/>
      <c r="D888" s="25"/>
      <c r="E888" s="26"/>
      <c r="F888" s="26"/>
    </row>
    <row r="889" spans="1:6" ht="12.75">
      <c r="A889" s="24"/>
      <c r="B889" s="24"/>
      <c r="C889" s="24"/>
      <c r="D889" s="25"/>
      <c r="E889" s="26"/>
      <c r="F889" s="26"/>
    </row>
    <row r="890" spans="1:6" ht="12.75">
      <c r="A890" s="24"/>
      <c r="B890" s="24"/>
      <c r="C890" s="24"/>
      <c r="D890" s="25"/>
      <c r="E890" s="26"/>
      <c r="F890" s="26"/>
    </row>
    <row r="891" spans="1:6" ht="12.75">
      <c r="A891" s="24"/>
      <c r="B891" s="24"/>
      <c r="C891" s="24"/>
      <c r="D891" s="25"/>
      <c r="E891" s="26"/>
      <c r="F891" s="26"/>
    </row>
    <row r="892" spans="1:6" ht="12.75">
      <c r="A892" s="24"/>
      <c r="B892" s="24"/>
      <c r="C892" s="24"/>
      <c r="D892" s="25"/>
      <c r="E892" s="26"/>
      <c r="F892" s="26"/>
    </row>
    <row r="893" spans="1:6" ht="12.75">
      <c r="A893" s="24"/>
      <c r="B893" s="24"/>
      <c r="C893" s="24"/>
      <c r="D893" s="25"/>
      <c r="E893" s="26"/>
      <c r="F893" s="26"/>
    </row>
    <row r="894" spans="1:6" ht="12.75">
      <c r="A894" s="24"/>
      <c r="B894" s="24"/>
      <c r="C894" s="24"/>
      <c r="D894" s="25"/>
      <c r="E894" s="26"/>
      <c r="F894" s="26"/>
    </row>
    <row r="895" spans="1:6" ht="12.75">
      <c r="A895" s="24"/>
      <c r="B895" s="24"/>
      <c r="C895" s="24"/>
      <c r="D895" s="25"/>
      <c r="E895" s="26"/>
      <c r="F895" s="26"/>
    </row>
    <row r="896" spans="1:6" ht="12.75">
      <c r="A896" s="24"/>
      <c r="B896" s="24"/>
      <c r="C896" s="24"/>
      <c r="D896" s="25"/>
      <c r="E896" s="26"/>
      <c r="F896" s="26"/>
    </row>
    <row r="897" spans="1:6" ht="12.75">
      <c r="A897" s="24"/>
      <c r="B897" s="24"/>
      <c r="C897" s="24"/>
      <c r="D897" s="25"/>
      <c r="E897" s="26"/>
      <c r="F897" s="26"/>
    </row>
    <row r="898" spans="1:6" ht="12.75">
      <c r="A898" s="24"/>
      <c r="B898" s="24"/>
      <c r="C898" s="24"/>
      <c r="D898" s="25"/>
      <c r="E898" s="26"/>
      <c r="F898" s="26"/>
    </row>
    <row r="899" spans="1:6" ht="12.75">
      <c r="A899" s="24"/>
      <c r="B899" s="24"/>
      <c r="C899" s="24"/>
      <c r="D899" s="25"/>
      <c r="E899" s="26"/>
      <c r="F899" s="26"/>
    </row>
    <row r="900" spans="1:6" ht="12.75">
      <c r="A900" s="24"/>
      <c r="B900" s="24"/>
      <c r="C900" s="24"/>
      <c r="D900" s="25"/>
      <c r="E900" s="26"/>
      <c r="F900" s="26"/>
    </row>
    <row r="901" spans="1:6" ht="12.75">
      <c r="A901" s="24"/>
      <c r="B901" s="24"/>
      <c r="C901" s="24"/>
      <c r="D901" s="25"/>
      <c r="E901" s="26"/>
      <c r="F901" s="26"/>
    </row>
    <row r="902" spans="1:6" ht="12.75">
      <c r="A902" s="24"/>
      <c r="B902" s="24"/>
      <c r="C902" s="24"/>
      <c r="D902" s="25"/>
      <c r="E902" s="26"/>
      <c r="F902" s="26"/>
    </row>
    <row r="903" spans="1:6" ht="12.75">
      <c r="A903" s="24"/>
      <c r="B903" s="24"/>
      <c r="C903" s="24"/>
      <c r="D903" s="25"/>
      <c r="E903" s="26"/>
      <c r="F903" s="26"/>
    </row>
    <row r="904" spans="1:6" ht="12.75">
      <c r="A904" s="24"/>
      <c r="B904" s="24"/>
      <c r="C904" s="24"/>
      <c r="D904" s="25"/>
      <c r="E904" s="26"/>
      <c r="F904" s="26"/>
    </row>
    <row r="905" spans="1:6" ht="12.75">
      <c r="A905" s="24"/>
      <c r="B905" s="24"/>
      <c r="C905" s="24"/>
      <c r="D905" s="25"/>
      <c r="E905" s="26"/>
      <c r="F905" s="26"/>
    </row>
    <row r="906" spans="1:6" ht="12.75">
      <c r="A906" s="24"/>
      <c r="B906" s="24"/>
      <c r="C906" s="24"/>
      <c r="D906" s="25"/>
      <c r="E906" s="26"/>
      <c r="F906" s="26"/>
    </row>
    <row r="907" spans="1:6" ht="12.75">
      <c r="A907" s="24"/>
      <c r="B907" s="24"/>
      <c r="C907" s="24"/>
      <c r="D907" s="25"/>
      <c r="E907" s="26"/>
      <c r="F907" s="26"/>
    </row>
    <row r="908" spans="1:6" ht="12.75">
      <c r="A908" s="24"/>
      <c r="B908" s="24"/>
      <c r="C908" s="24"/>
      <c r="D908" s="25"/>
      <c r="E908" s="26"/>
      <c r="F908" s="26"/>
    </row>
    <row r="909" spans="1:6" ht="12.75">
      <c r="A909" s="24"/>
      <c r="B909" s="24"/>
      <c r="C909" s="24"/>
      <c r="D909" s="25"/>
      <c r="E909" s="26"/>
      <c r="F909" s="26"/>
    </row>
    <row r="910" spans="1:6" ht="12.75">
      <c r="A910" s="24"/>
      <c r="B910" s="24"/>
      <c r="C910" s="24"/>
      <c r="D910" s="25"/>
      <c r="E910" s="26"/>
      <c r="F910" s="26"/>
    </row>
    <row r="911" spans="1:6" ht="12.75">
      <c r="A911" s="24"/>
      <c r="B911" s="24"/>
      <c r="C911" s="24"/>
      <c r="D911" s="25"/>
      <c r="E911" s="26"/>
      <c r="F911" s="26"/>
    </row>
    <row r="912" spans="1:6" ht="12.75">
      <c r="A912" s="24"/>
      <c r="B912" s="24"/>
      <c r="C912" s="24"/>
      <c r="D912" s="25"/>
      <c r="E912" s="26"/>
      <c r="F912" s="26"/>
    </row>
    <row r="913" spans="1:6" ht="12.75">
      <c r="A913" s="24"/>
      <c r="B913" s="24"/>
      <c r="C913" s="24"/>
      <c r="D913" s="25"/>
      <c r="E913" s="26"/>
      <c r="F913" s="26"/>
    </row>
    <row r="914" spans="1:6" ht="12.75">
      <c r="A914" s="24"/>
      <c r="B914" s="24"/>
      <c r="C914" s="24"/>
      <c r="D914" s="25"/>
      <c r="E914" s="26"/>
      <c r="F914" s="26"/>
    </row>
    <row r="915" spans="1:6" ht="12.75">
      <c r="A915" s="24"/>
      <c r="B915" s="24"/>
      <c r="C915" s="24"/>
      <c r="D915" s="25"/>
      <c r="E915" s="26"/>
      <c r="F915" s="26"/>
    </row>
    <row r="916" spans="1:6" ht="12.75">
      <c r="A916" s="24"/>
      <c r="B916" s="24"/>
      <c r="C916" s="24"/>
      <c r="D916" s="25"/>
      <c r="E916" s="26"/>
      <c r="F916" s="26"/>
    </row>
    <row r="917" spans="1:6" ht="12.75">
      <c r="A917" s="24"/>
      <c r="B917" s="24"/>
      <c r="C917" s="24"/>
      <c r="D917" s="25"/>
      <c r="E917" s="26"/>
      <c r="F917" s="26"/>
    </row>
    <row r="918" spans="1:6" ht="12.75">
      <c r="A918" s="24"/>
      <c r="B918" s="24"/>
      <c r="C918" s="24"/>
      <c r="D918" s="25"/>
      <c r="E918" s="26"/>
      <c r="F918" s="26"/>
    </row>
    <row r="919" spans="1:6" ht="12.75">
      <c r="A919" s="24"/>
      <c r="B919" s="24"/>
      <c r="C919" s="24"/>
      <c r="D919" s="25"/>
      <c r="E919" s="26"/>
      <c r="F919" s="26"/>
    </row>
    <row r="920" spans="1:6" ht="12.75">
      <c r="A920" s="24"/>
      <c r="B920" s="24"/>
      <c r="C920" s="24"/>
      <c r="D920" s="25"/>
      <c r="E920" s="26"/>
      <c r="F920" s="26"/>
    </row>
    <row r="921" spans="1:6" ht="12.75">
      <c r="A921" s="24"/>
      <c r="B921" s="24"/>
      <c r="C921" s="24"/>
      <c r="D921" s="25"/>
      <c r="E921" s="26"/>
      <c r="F921" s="26"/>
    </row>
    <row r="922" spans="1:6" ht="12.75">
      <c r="A922" s="24"/>
      <c r="B922" s="24"/>
      <c r="C922" s="24"/>
      <c r="D922" s="25"/>
      <c r="E922" s="26"/>
      <c r="F922" s="26"/>
    </row>
    <row r="923" spans="1:6" ht="12.75">
      <c r="A923" s="24"/>
      <c r="B923" s="24"/>
      <c r="C923" s="24"/>
      <c r="D923" s="25"/>
      <c r="E923" s="26"/>
      <c r="F923" s="26"/>
    </row>
    <row r="924" spans="1:6" ht="12.75">
      <c r="A924" s="24"/>
      <c r="B924" s="24"/>
      <c r="C924" s="24"/>
      <c r="D924" s="25"/>
      <c r="E924" s="26"/>
      <c r="F924" s="26"/>
    </row>
    <row r="925" spans="1:6" ht="12.75">
      <c r="A925" s="24"/>
      <c r="B925" s="24"/>
      <c r="C925" s="24"/>
      <c r="D925" s="25"/>
      <c r="E925" s="26"/>
      <c r="F925" s="26"/>
    </row>
    <row r="926" spans="1:6" ht="12.75">
      <c r="A926" s="24"/>
      <c r="B926" s="24"/>
      <c r="C926" s="24"/>
      <c r="D926" s="25"/>
      <c r="E926" s="26"/>
      <c r="F926" s="26"/>
    </row>
    <row r="927" spans="1:6" ht="12.75">
      <c r="A927" s="24"/>
      <c r="B927" s="24"/>
      <c r="C927" s="24"/>
      <c r="D927" s="25"/>
      <c r="E927" s="26"/>
      <c r="F927" s="26"/>
    </row>
    <row r="928" spans="1:6" ht="12.75">
      <c r="A928" s="24"/>
      <c r="B928" s="24"/>
      <c r="C928" s="24"/>
      <c r="D928" s="25"/>
      <c r="E928" s="26"/>
      <c r="F928" s="26"/>
    </row>
    <row r="929" spans="1:6" ht="12.75">
      <c r="A929" s="24"/>
      <c r="B929" s="24"/>
      <c r="C929" s="24"/>
      <c r="D929" s="25"/>
      <c r="E929" s="26"/>
      <c r="F929" s="26"/>
    </row>
    <row r="930" spans="1:6" ht="12.75">
      <c r="A930" s="24"/>
      <c r="B930" s="24"/>
      <c r="C930" s="24"/>
      <c r="D930" s="25"/>
      <c r="E930" s="26"/>
      <c r="F930" s="26"/>
    </row>
    <row r="931" spans="1:6" ht="12.75">
      <c r="A931" s="24"/>
      <c r="B931" s="24"/>
      <c r="C931" s="24"/>
      <c r="D931" s="25"/>
      <c r="E931" s="26"/>
      <c r="F931" s="26"/>
    </row>
    <row r="932" spans="1:6" ht="12.75">
      <c r="A932" s="24"/>
      <c r="B932" s="24"/>
      <c r="C932" s="24"/>
      <c r="D932" s="25"/>
      <c r="E932" s="26"/>
      <c r="F932" s="26"/>
    </row>
    <row r="933" spans="1:6" ht="12.75">
      <c r="A933" s="24"/>
      <c r="B933" s="24"/>
      <c r="C933" s="24"/>
      <c r="D933" s="25"/>
      <c r="E933" s="26"/>
      <c r="F933" s="26"/>
    </row>
    <row r="934" spans="1:6" ht="12.75">
      <c r="A934" s="24"/>
      <c r="B934" s="24"/>
      <c r="C934" s="24"/>
      <c r="D934" s="25"/>
      <c r="E934" s="26"/>
      <c r="F934" s="26"/>
    </row>
    <row r="935" spans="1:6" ht="12.75">
      <c r="A935" s="24"/>
      <c r="B935" s="24"/>
      <c r="C935" s="24"/>
      <c r="D935" s="25"/>
      <c r="E935" s="26"/>
      <c r="F935" s="26"/>
    </row>
    <row r="936" spans="1:6" ht="12.75">
      <c r="A936" s="24"/>
      <c r="B936" s="24"/>
      <c r="C936" s="24"/>
      <c r="D936" s="25"/>
      <c r="E936" s="26"/>
      <c r="F936" s="26"/>
    </row>
    <row r="937" spans="1:6" ht="12.75">
      <c r="A937" s="24"/>
      <c r="B937" s="24"/>
      <c r="C937" s="24"/>
      <c r="D937" s="25"/>
      <c r="E937" s="26"/>
      <c r="F937" s="26"/>
    </row>
    <row r="938" spans="1:6" ht="12.75">
      <c r="A938" s="24"/>
      <c r="B938" s="24"/>
      <c r="C938" s="24"/>
      <c r="D938" s="25"/>
      <c r="E938" s="26"/>
      <c r="F938" s="26"/>
    </row>
    <row r="939" spans="1:6" ht="12.75">
      <c r="A939" s="24"/>
      <c r="B939" s="24"/>
      <c r="C939" s="24"/>
      <c r="D939" s="25"/>
      <c r="E939" s="26"/>
      <c r="F939" s="26"/>
    </row>
    <row r="940" spans="1:6" ht="12.75">
      <c r="A940" s="24"/>
      <c r="B940" s="24"/>
      <c r="C940" s="24"/>
      <c r="D940" s="25"/>
      <c r="E940" s="26"/>
      <c r="F940" s="26"/>
    </row>
    <row r="941" spans="1:6" ht="12.75">
      <c r="A941" s="24"/>
      <c r="B941" s="24"/>
      <c r="C941" s="24"/>
      <c r="D941" s="25"/>
      <c r="E941" s="26"/>
      <c r="F941" s="26"/>
    </row>
    <row r="942" spans="1:6" ht="12.75">
      <c r="A942" s="24"/>
      <c r="B942" s="24"/>
      <c r="C942" s="24"/>
      <c r="D942" s="25"/>
      <c r="E942" s="26"/>
      <c r="F942" s="26"/>
    </row>
    <row r="943" spans="1:6" ht="12.75">
      <c r="A943" s="24"/>
      <c r="B943" s="24"/>
      <c r="C943" s="24"/>
      <c r="D943" s="25"/>
      <c r="E943" s="26"/>
      <c r="F943" s="26"/>
    </row>
    <row r="944" spans="1:6" ht="12.75">
      <c r="A944" s="24"/>
      <c r="B944" s="24"/>
      <c r="C944" s="24"/>
      <c r="D944" s="25"/>
      <c r="E944" s="26"/>
      <c r="F944" s="26"/>
    </row>
    <row r="945" spans="1:6" ht="12.75">
      <c r="A945" s="24"/>
      <c r="B945" s="24"/>
      <c r="C945" s="24"/>
      <c r="D945" s="25"/>
      <c r="E945" s="26"/>
      <c r="F945" s="26"/>
    </row>
    <row r="946" spans="1:6" ht="12.75">
      <c r="A946" s="24"/>
      <c r="B946" s="24"/>
      <c r="C946" s="24"/>
      <c r="D946" s="25"/>
      <c r="E946" s="26"/>
      <c r="F946" s="26"/>
    </row>
    <row r="947" spans="1:6" ht="12.75">
      <c r="A947" s="24"/>
      <c r="B947" s="24"/>
      <c r="C947" s="24"/>
      <c r="D947" s="25"/>
      <c r="E947" s="26"/>
      <c r="F947" s="26"/>
    </row>
    <row r="948" spans="1:6" ht="12.75">
      <c r="A948" s="24"/>
      <c r="B948" s="24"/>
      <c r="C948" s="24"/>
      <c r="D948" s="25"/>
      <c r="E948" s="26"/>
      <c r="F948" s="26"/>
    </row>
    <row r="949" spans="1:6" ht="12.75">
      <c r="A949" s="24"/>
      <c r="B949" s="24"/>
      <c r="C949" s="24"/>
      <c r="D949" s="25"/>
      <c r="E949" s="26"/>
      <c r="F949" s="26"/>
    </row>
    <row r="950" spans="1:6" ht="12.75">
      <c r="A950" s="24"/>
      <c r="B950" s="24"/>
      <c r="C950" s="24"/>
      <c r="D950" s="25"/>
      <c r="E950" s="26"/>
      <c r="F950" s="26"/>
    </row>
    <row r="951" spans="1:6" ht="12.75">
      <c r="A951" s="24"/>
      <c r="B951" s="24"/>
      <c r="C951" s="24"/>
      <c r="D951" s="25"/>
      <c r="E951" s="26"/>
      <c r="F951" s="26"/>
    </row>
    <row r="952" spans="1:6" ht="12.75">
      <c r="A952" s="24"/>
      <c r="B952" s="24"/>
      <c r="C952" s="24"/>
      <c r="D952" s="25"/>
      <c r="E952" s="26"/>
      <c r="F952" s="26"/>
    </row>
    <row r="953" spans="1:6" ht="12.75">
      <c r="A953" s="24"/>
      <c r="B953" s="24"/>
      <c r="C953" s="24"/>
      <c r="D953" s="25"/>
      <c r="E953" s="26"/>
      <c r="F953" s="26"/>
    </row>
    <row r="954" spans="1:6" ht="12.75">
      <c r="A954" s="24"/>
      <c r="B954" s="24"/>
      <c r="C954" s="24"/>
      <c r="D954" s="25"/>
      <c r="E954" s="26"/>
      <c r="F954" s="26"/>
    </row>
    <row r="955" spans="1:6" ht="12.75">
      <c r="A955" s="24"/>
      <c r="B955" s="24"/>
      <c r="C955" s="24"/>
      <c r="D955" s="25"/>
      <c r="E955" s="26"/>
      <c r="F955" s="26"/>
    </row>
    <row r="956" spans="1:6" ht="12.75">
      <c r="A956" s="24"/>
      <c r="B956" s="24"/>
      <c r="C956" s="24"/>
      <c r="D956" s="25"/>
      <c r="E956" s="26"/>
      <c r="F956" s="26"/>
    </row>
    <row r="957" spans="1:6" ht="12.75">
      <c r="A957" s="24"/>
      <c r="B957" s="24"/>
      <c r="C957" s="24"/>
      <c r="D957" s="25"/>
      <c r="E957" s="26"/>
      <c r="F957" s="26"/>
    </row>
    <row r="958" spans="1:6" ht="12.75">
      <c r="A958" s="24"/>
      <c r="B958" s="24"/>
      <c r="C958" s="24"/>
      <c r="D958" s="25"/>
      <c r="E958" s="26"/>
      <c r="F958" s="26"/>
    </row>
    <row r="959" spans="1:6" ht="12.75">
      <c r="A959" s="24"/>
      <c r="B959" s="24"/>
      <c r="C959" s="24"/>
      <c r="D959" s="25"/>
      <c r="E959" s="26"/>
      <c r="F959" s="26"/>
    </row>
    <row r="960" spans="1:6" ht="12.75">
      <c r="A960" s="24"/>
      <c r="B960" s="24"/>
      <c r="C960" s="24"/>
      <c r="D960" s="25"/>
      <c r="E960" s="26"/>
      <c r="F960" s="26"/>
    </row>
    <row r="961" spans="1:6" ht="12.75">
      <c r="A961" s="24"/>
      <c r="B961" s="24"/>
      <c r="C961" s="24"/>
      <c r="D961" s="25"/>
      <c r="E961" s="26"/>
      <c r="F961" s="26"/>
    </row>
    <row r="962" spans="1:6" ht="12.75">
      <c r="A962" s="24"/>
      <c r="B962" s="24"/>
      <c r="C962" s="24"/>
      <c r="D962" s="25"/>
      <c r="E962" s="26"/>
      <c r="F962" s="26"/>
    </row>
    <row r="963" spans="1:6" ht="12.75">
      <c r="A963" s="24"/>
      <c r="B963" s="24"/>
      <c r="C963" s="24"/>
      <c r="D963" s="25"/>
      <c r="E963" s="26"/>
      <c r="F963" s="26"/>
    </row>
  </sheetData>
  <sheetProtection selectLockedCells="1" selectUnlockedCells="1"/>
  <mergeCells count="8">
    <mergeCell ref="A9:F9"/>
    <mergeCell ref="A2:F2"/>
    <mergeCell ref="A4:F4"/>
    <mergeCell ref="A5:F5"/>
    <mergeCell ref="A6:F6"/>
    <mergeCell ref="A3:F3"/>
    <mergeCell ref="A7:F7"/>
    <mergeCell ref="A8:F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PageLayoutView="0" workbookViewId="0" topLeftCell="A29">
      <selection activeCell="C11" sqref="C11:F11"/>
    </sheetView>
  </sheetViews>
  <sheetFormatPr defaultColWidth="11.57421875" defaultRowHeight="12.75"/>
  <cols>
    <col min="1" max="1" width="10.57421875" style="77" customWidth="1"/>
    <col min="2" max="2" width="7.421875" style="77" customWidth="1"/>
    <col min="3" max="3" width="46.140625" style="77" customWidth="1"/>
    <col min="4" max="4" width="9.8515625" style="77" customWidth="1"/>
    <col min="5" max="5" width="14.00390625" style="77" customWidth="1"/>
    <col min="6" max="6" width="13.57421875" style="77" customWidth="1"/>
    <col min="7" max="7" width="13.140625" style="77" customWidth="1"/>
    <col min="8" max="8" width="12.28125" style="77" customWidth="1"/>
    <col min="9" max="9" width="5.57421875" style="77" customWidth="1"/>
    <col min="10" max="16384" width="11.57421875" style="77" customWidth="1"/>
  </cols>
  <sheetData>
    <row r="1" spans="1:9" ht="29.25" customHeight="1">
      <c r="A1" s="448" t="s">
        <v>833</v>
      </c>
      <c r="B1" s="449"/>
      <c r="C1" s="449"/>
      <c r="D1" s="449"/>
      <c r="E1" s="449"/>
      <c r="F1" s="449"/>
      <c r="G1" s="449"/>
      <c r="H1" s="449"/>
      <c r="I1" s="450"/>
    </row>
    <row r="2" spans="1:9" ht="15.75" customHeight="1">
      <c r="A2" s="173" t="s">
        <v>701</v>
      </c>
      <c r="B2" s="459" t="s">
        <v>990</v>
      </c>
      <c r="C2" s="459"/>
      <c r="D2" s="459"/>
      <c r="E2" s="459"/>
      <c r="F2" s="459"/>
      <c r="G2" s="459"/>
      <c r="H2" s="459"/>
      <c r="I2" s="460"/>
    </row>
    <row r="3" spans="1:9" ht="12.75">
      <c r="A3" s="174"/>
      <c r="B3" s="175"/>
      <c r="C3" s="176"/>
      <c r="D3" s="451"/>
      <c r="E3" s="452"/>
      <c r="F3" s="452"/>
      <c r="G3" s="452"/>
      <c r="H3" s="452"/>
      <c r="I3" s="453"/>
    </row>
    <row r="4" spans="1:9" ht="12.75">
      <c r="A4" s="177"/>
      <c r="B4" s="178"/>
      <c r="C4" s="179"/>
      <c r="D4" s="454"/>
      <c r="E4" s="454"/>
      <c r="F4" s="454"/>
      <c r="G4" s="454"/>
      <c r="H4" s="454"/>
      <c r="I4" s="455"/>
    </row>
    <row r="5" spans="1:9" ht="12.75">
      <c r="A5" s="180" t="s">
        <v>834</v>
      </c>
      <c r="B5" s="181"/>
      <c r="C5" s="78"/>
      <c r="D5" s="152"/>
      <c r="E5" s="152"/>
      <c r="F5" s="152"/>
      <c r="G5" s="182" t="s">
        <v>835</v>
      </c>
      <c r="H5" s="78"/>
      <c r="I5" s="183"/>
    </row>
    <row r="6" spans="1:9" ht="12.75">
      <c r="A6" s="184"/>
      <c r="B6" s="152"/>
      <c r="C6" s="78"/>
      <c r="D6" s="152"/>
      <c r="E6" s="152"/>
      <c r="F6" s="152"/>
      <c r="G6" s="182" t="s">
        <v>836</v>
      </c>
      <c r="H6" s="78"/>
      <c r="I6" s="183"/>
    </row>
    <row r="7" spans="1:9" ht="12.75">
      <c r="A7" s="185"/>
      <c r="B7" s="186"/>
      <c r="C7" s="187"/>
      <c r="D7" s="188"/>
      <c r="E7" s="188"/>
      <c r="F7" s="188"/>
      <c r="G7" s="189"/>
      <c r="H7" s="188"/>
      <c r="I7" s="190"/>
    </row>
    <row r="8" spans="1:9" ht="12.75" hidden="1">
      <c r="A8" s="180" t="s">
        <v>549</v>
      </c>
      <c r="B8" s="181"/>
      <c r="C8" s="191" t="s">
        <v>855</v>
      </c>
      <c r="D8" s="181"/>
      <c r="E8" s="181"/>
      <c r="F8" s="79"/>
      <c r="G8" s="182" t="s">
        <v>835</v>
      </c>
      <c r="H8" s="192" t="s">
        <v>859</v>
      </c>
      <c r="I8" s="183"/>
    </row>
    <row r="9" spans="1:9" ht="12.75" hidden="1">
      <c r="A9" s="193"/>
      <c r="B9" s="181"/>
      <c r="C9" s="191" t="s">
        <v>856</v>
      </c>
      <c r="D9" s="181"/>
      <c r="E9" s="181"/>
      <c r="F9" s="79"/>
      <c r="G9" s="182" t="s">
        <v>836</v>
      </c>
      <c r="H9" s="78"/>
      <c r="I9" s="183"/>
    </row>
    <row r="10" spans="1:9" ht="12.75" hidden="1">
      <c r="A10" s="194"/>
      <c r="B10" s="195" t="s">
        <v>858</v>
      </c>
      <c r="C10" s="196" t="s">
        <v>857</v>
      </c>
      <c r="D10" s="189"/>
      <c r="E10" s="189"/>
      <c r="F10" s="197"/>
      <c r="G10" s="197"/>
      <c r="H10" s="198"/>
      <c r="I10" s="190"/>
    </row>
    <row r="11" spans="1:9" ht="12.75">
      <c r="A11" s="180" t="s">
        <v>550</v>
      </c>
      <c r="B11" s="181"/>
      <c r="C11" s="456"/>
      <c r="D11" s="456"/>
      <c r="E11" s="456"/>
      <c r="F11" s="456"/>
      <c r="G11" s="182" t="s">
        <v>835</v>
      </c>
      <c r="H11" s="199"/>
      <c r="I11" s="183"/>
    </row>
    <row r="12" spans="1:9" ht="12.75">
      <c r="A12" s="184"/>
      <c r="B12" s="152"/>
      <c r="C12" s="457"/>
      <c r="D12" s="457"/>
      <c r="E12" s="457"/>
      <c r="F12" s="457"/>
      <c r="G12" s="182" t="s">
        <v>836</v>
      </c>
      <c r="H12" s="199"/>
      <c r="I12" s="183"/>
    </row>
    <row r="13" spans="1:9" ht="12.75">
      <c r="A13" s="185"/>
      <c r="B13" s="200"/>
      <c r="C13" s="458"/>
      <c r="D13" s="458"/>
      <c r="E13" s="458"/>
      <c r="F13" s="458"/>
      <c r="G13" s="201"/>
      <c r="H13" s="188"/>
      <c r="I13" s="190"/>
    </row>
    <row r="14" spans="1:9" ht="12.75">
      <c r="A14" s="202" t="s">
        <v>837</v>
      </c>
      <c r="B14" s="203"/>
      <c r="C14" s="204"/>
      <c r="D14" s="205"/>
      <c r="E14" s="205"/>
      <c r="F14" s="205"/>
      <c r="G14" s="206"/>
      <c r="H14" s="205"/>
      <c r="I14" s="207"/>
    </row>
    <row r="15" spans="1:9" ht="12.75">
      <c r="A15" s="194" t="s">
        <v>838</v>
      </c>
      <c r="B15" s="208"/>
      <c r="C15" s="197"/>
      <c r="D15" s="462"/>
      <c r="E15" s="462"/>
      <c r="F15" s="463"/>
      <c r="G15" s="463"/>
      <c r="H15" s="463" t="s">
        <v>552</v>
      </c>
      <c r="I15" s="464"/>
    </row>
    <row r="16" spans="1:9" ht="12.75">
      <c r="A16" s="209" t="s">
        <v>839</v>
      </c>
      <c r="B16" s="210"/>
      <c r="C16" s="211"/>
      <c r="D16" s="442"/>
      <c r="E16" s="444"/>
      <c r="F16" s="442"/>
      <c r="G16" s="444"/>
      <c r="H16" s="442">
        <f>SUM(F40:F60)+F72+F73</f>
        <v>0</v>
      </c>
      <c r="I16" s="443"/>
    </row>
    <row r="17" spans="1:9" ht="12.75">
      <c r="A17" s="209" t="s">
        <v>840</v>
      </c>
      <c r="B17" s="210"/>
      <c r="C17" s="211"/>
      <c r="D17" s="442"/>
      <c r="E17" s="444"/>
      <c r="F17" s="442"/>
      <c r="G17" s="444"/>
      <c r="H17" s="442">
        <f>SUM(F61:F68)</f>
        <v>0</v>
      </c>
      <c r="I17" s="443"/>
    </row>
    <row r="18" spans="1:9" ht="12.75">
      <c r="A18" s="209" t="s">
        <v>841</v>
      </c>
      <c r="B18" s="210"/>
      <c r="C18" s="211"/>
      <c r="D18" s="442"/>
      <c r="E18" s="444"/>
      <c r="F18" s="442"/>
      <c r="G18" s="444"/>
      <c r="H18" s="442">
        <f>SUM(F69:F71)</f>
        <v>0</v>
      </c>
      <c r="I18" s="443"/>
    </row>
    <row r="19" spans="1:9" ht="12.75">
      <c r="A19" s="209" t="s">
        <v>842</v>
      </c>
      <c r="B19" s="210"/>
      <c r="C19" s="211"/>
      <c r="D19" s="442"/>
      <c r="E19" s="444"/>
      <c r="F19" s="442"/>
      <c r="G19" s="444"/>
      <c r="H19" s="442">
        <f>F74</f>
        <v>0</v>
      </c>
      <c r="I19" s="443"/>
    </row>
    <row r="20" spans="1:9" ht="12.75">
      <c r="A20" s="212" t="s">
        <v>552</v>
      </c>
      <c r="B20" s="213"/>
      <c r="C20" s="214"/>
      <c r="D20" s="431"/>
      <c r="E20" s="432"/>
      <c r="F20" s="431"/>
      <c r="G20" s="432"/>
      <c r="H20" s="431">
        <f>SUM(H16:I19)</f>
        <v>0</v>
      </c>
      <c r="I20" s="433"/>
    </row>
    <row r="21" spans="1:9" ht="12.75">
      <c r="A21" s="215" t="s">
        <v>843</v>
      </c>
      <c r="B21" s="210"/>
      <c r="C21" s="211"/>
      <c r="D21" s="216"/>
      <c r="E21" s="217"/>
      <c r="F21" s="218"/>
      <c r="G21" s="218"/>
      <c r="H21" s="218"/>
      <c r="I21" s="107"/>
    </row>
    <row r="22" spans="1:9" ht="12.75">
      <c r="A22" s="209" t="s">
        <v>844</v>
      </c>
      <c r="B22" s="210"/>
      <c r="C22" s="211"/>
      <c r="D22" s="434">
        <v>0.15</v>
      </c>
      <c r="E22" s="435"/>
      <c r="F22" s="436">
        <v>0</v>
      </c>
      <c r="G22" s="437"/>
      <c r="H22" s="437"/>
      <c r="I22" s="107" t="s">
        <v>850</v>
      </c>
    </row>
    <row r="23" spans="1:9" ht="12.75">
      <c r="A23" s="209" t="s">
        <v>845</v>
      </c>
      <c r="B23" s="210"/>
      <c r="C23" s="211"/>
      <c r="D23" s="434">
        <v>0</v>
      </c>
      <c r="E23" s="435"/>
      <c r="F23" s="438">
        <f>H22*D22/100</f>
        <v>0</v>
      </c>
      <c r="G23" s="439"/>
      <c r="H23" s="439"/>
      <c r="I23" s="107" t="s">
        <v>850</v>
      </c>
    </row>
    <row r="24" spans="1:9" ht="12.75">
      <c r="A24" s="209" t="s">
        <v>846</v>
      </c>
      <c r="B24" s="210"/>
      <c r="C24" s="211"/>
      <c r="D24" s="434">
        <v>0.21</v>
      </c>
      <c r="E24" s="435"/>
      <c r="F24" s="436">
        <f>H20</f>
        <v>0</v>
      </c>
      <c r="G24" s="437"/>
      <c r="H24" s="437"/>
      <c r="I24" s="107" t="s">
        <v>850</v>
      </c>
    </row>
    <row r="25" spans="1:9" ht="13.5" thickBot="1">
      <c r="A25" s="219" t="s">
        <v>847</v>
      </c>
      <c r="B25" s="220"/>
      <c r="C25" s="221"/>
      <c r="D25" s="434">
        <v>0</v>
      </c>
      <c r="E25" s="435"/>
      <c r="F25" s="440">
        <f>F24*D24</f>
        <v>0</v>
      </c>
      <c r="G25" s="441"/>
      <c r="H25" s="441"/>
      <c r="I25" s="107" t="s">
        <v>850</v>
      </c>
    </row>
    <row r="26" spans="1:9" ht="13.5" thickBot="1">
      <c r="A26" s="246" t="s">
        <v>848</v>
      </c>
      <c r="B26" s="111"/>
      <c r="C26" s="111"/>
      <c r="D26" s="111"/>
      <c r="E26" s="247"/>
      <c r="F26" s="445">
        <f>F24</f>
        <v>0</v>
      </c>
      <c r="G26" s="445"/>
      <c r="H26" s="445"/>
      <c r="I26" s="118" t="s">
        <v>850</v>
      </c>
    </row>
    <row r="27" spans="1:9" ht="13.5" thickBot="1">
      <c r="A27" s="246" t="s">
        <v>849</v>
      </c>
      <c r="B27" s="112"/>
      <c r="C27" s="112"/>
      <c r="D27" s="112"/>
      <c r="E27" s="112"/>
      <c r="F27" s="446">
        <f>F24+F25</f>
        <v>0</v>
      </c>
      <c r="G27" s="446"/>
      <c r="H27" s="446"/>
      <c r="I27" s="118" t="s">
        <v>850</v>
      </c>
    </row>
    <row r="28" spans="1:9" ht="12.75">
      <c r="A28" s="193"/>
      <c r="B28" s="181"/>
      <c r="C28" s="181"/>
      <c r="D28" s="181"/>
      <c r="E28" s="181"/>
      <c r="F28" s="79"/>
      <c r="G28" s="181"/>
      <c r="H28" s="79"/>
      <c r="I28" s="222"/>
    </row>
    <row r="29" spans="1:9" ht="12.75">
      <c r="A29" s="193"/>
      <c r="B29" s="181"/>
      <c r="C29" s="181"/>
      <c r="D29" s="181"/>
      <c r="E29" s="181"/>
      <c r="F29" s="79"/>
      <c r="G29" s="181"/>
      <c r="H29" s="79"/>
      <c r="I29" s="222"/>
    </row>
    <row r="30" spans="1:9" ht="12.75">
      <c r="A30" s="223"/>
      <c r="B30" s="153" t="s">
        <v>851</v>
      </c>
      <c r="C30" s="224"/>
      <c r="D30" s="225"/>
      <c r="E30" s="153" t="s">
        <v>852</v>
      </c>
      <c r="F30" s="224"/>
      <c r="G30" s="226">
        <f ca="1">TODAY()</f>
        <v>42963</v>
      </c>
      <c r="H30" s="224"/>
      <c r="I30" s="222"/>
    </row>
    <row r="31" spans="1:9" ht="12.75">
      <c r="A31" s="193"/>
      <c r="B31" s="181"/>
      <c r="C31" s="181"/>
      <c r="D31" s="181"/>
      <c r="E31" s="181"/>
      <c r="F31" s="79"/>
      <c r="G31" s="181"/>
      <c r="H31" s="79"/>
      <c r="I31" s="222"/>
    </row>
    <row r="32" spans="1:9" ht="12.75">
      <c r="A32" s="227"/>
      <c r="B32" s="228"/>
      <c r="C32" s="229"/>
      <c r="D32" s="228"/>
      <c r="E32" s="228"/>
      <c r="F32" s="230"/>
      <c r="G32" s="229"/>
      <c r="H32" s="230"/>
      <c r="I32" s="231"/>
    </row>
    <row r="33" spans="1:9" ht="12.75">
      <c r="A33" s="193"/>
      <c r="B33" s="181"/>
      <c r="C33" s="232" t="s">
        <v>853</v>
      </c>
      <c r="D33" s="79"/>
      <c r="E33" s="181"/>
      <c r="F33" s="79"/>
      <c r="G33" s="233" t="s">
        <v>854</v>
      </c>
      <c r="H33" s="79"/>
      <c r="I33" s="222"/>
    </row>
    <row r="34" spans="1:9" ht="13.5" thickBot="1">
      <c r="A34" s="234"/>
      <c r="B34" s="235"/>
      <c r="C34" s="235"/>
      <c r="D34" s="235"/>
      <c r="E34" s="235"/>
      <c r="F34" s="236"/>
      <c r="G34" s="235"/>
      <c r="H34" s="236"/>
      <c r="I34" s="237"/>
    </row>
    <row r="35" spans="1:5" ht="12.75">
      <c r="A35" s="238"/>
      <c r="B35" s="65"/>
      <c r="C35" s="65"/>
      <c r="D35" s="238"/>
      <c r="E35" s="238"/>
    </row>
    <row r="36" spans="1:9" ht="18">
      <c r="A36" s="239"/>
      <c r="B36" s="240"/>
      <c r="C36" s="240"/>
      <c r="D36" s="240"/>
      <c r="E36" s="241"/>
      <c r="F36" s="241"/>
      <c r="G36" s="241"/>
      <c r="H36" s="241"/>
      <c r="I36" s="240"/>
    </row>
    <row r="37" spans="1:5" ht="12.75">
      <c r="A37" s="242"/>
      <c r="B37" s="242"/>
      <c r="C37" s="238"/>
      <c r="D37" s="242"/>
      <c r="E37" s="242"/>
    </row>
    <row r="38" spans="1:5" ht="23.25" customHeight="1" thickBot="1">
      <c r="A38" s="239" t="s">
        <v>863</v>
      </c>
      <c r="B38" s="238"/>
      <c r="C38" s="238"/>
      <c r="D38" s="238"/>
      <c r="E38" s="238"/>
    </row>
    <row r="39" spans="1:6" ht="12.75">
      <c r="A39" s="113" t="s">
        <v>861</v>
      </c>
      <c r="B39" s="243" t="s">
        <v>193</v>
      </c>
      <c r="C39" s="461" t="s">
        <v>337</v>
      </c>
      <c r="D39" s="461"/>
      <c r="E39" s="461"/>
      <c r="F39" s="114" t="s">
        <v>860</v>
      </c>
    </row>
    <row r="40" spans="1:6" ht="12.75">
      <c r="A40" s="108" t="s">
        <v>839</v>
      </c>
      <c r="B40" s="106" t="s">
        <v>13</v>
      </c>
      <c r="C40" s="447" t="s">
        <v>339</v>
      </c>
      <c r="D40" s="447"/>
      <c r="E40" s="447"/>
      <c r="F40" s="244">
        <f>ARC!G8</f>
        <v>0</v>
      </c>
    </row>
    <row r="41" spans="1:6" ht="12.75">
      <c r="A41" s="108" t="s">
        <v>839</v>
      </c>
      <c r="B41" s="106" t="s">
        <v>16</v>
      </c>
      <c r="C41" s="447" t="s">
        <v>355</v>
      </c>
      <c r="D41" s="447"/>
      <c r="E41" s="447"/>
      <c r="F41" s="244">
        <f>ARC!G26</f>
        <v>0</v>
      </c>
    </row>
    <row r="42" spans="1:6" ht="12.75">
      <c r="A42" s="108" t="s">
        <v>839</v>
      </c>
      <c r="B42" s="106" t="s">
        <v>17</v>
      </c>
      <c r="C42" s="447" t="s">
        <v>356</v>
      </c>
      <c r="D42" s="447"/>
      <c r="E42" s="447"/>
      <c r="F42" s="244">
        <f>ARC!G34</f>
        <v>0</v>
      </c>
    </row>
    <row r="43" spans="1:6" ht="12.75">
      <c r="A43" s="108" t="s">
        <v>839</v>
      </c>
      <c r="B43" s="106" t="s">
        <v>21</v>
      </c>
      <c r="C43" s="447" t="s">
        <v>359</v>
      </c>
      <c r="D43" s="447"/>
      <c r="E43" s="447"/>
      <c r="F43" s="244">
        <f>ARC!G39</f>
        <v>0</v>
      </c>
    </row>
    <row r="44" spans="1:7" ht="12.75">
      <c r="A44" s="108" t="s">
        <v>839</v>
      </c>
      <c r="B44" s="106" t="s">
        <v>27</v>
      </c>
      <c r="C44" s="447" t="s">
        <v>361</v>
      </c>
      <c r="D44" s="447"/>
      <c r="E44" s="447"/>
      <c r="F44" s="244">
        <f>ARC!G41</f>
        <v>0</v>
      </c>
      <c r="G44" s="172"/>
    </row>
    <row r="45" spans="1:6" ht="12.75">
      <c r="A45" s="108" t="s">
        <v>839</v>
      </c>
      <c r="B45" s="106" t="s">
        <v>31</v>
      </c>
      <c r="C45" s="447" t="s">
        <v>368</v>
      </c>
      <c r="D45" s="447"/>
      <c r="E45" s="447"/>
      <c r="F45" s="244">
        <f>ARC!G50</f>
        <v>0</v>
      </c>
    </row>
    <row r="46" spans="1:6" ht="12.75">
      <c r="A46" s="108" t="s">
        <v>839</v>
      </c>
      <c r="B46" s="106" t="s">
        <v>33</v>
      </c>
      <c r="C46" s="447" t="s">
        <v>372</v>
      </c>
      <c r="D46" s="447"/>
      <c r="E46" s="447"/>
      <c r="F46" s="244">
        <f>ARC!G56</f>
        <v>0</v>
      </c>
    </row>
    <row r="47" spans="1:6" ht="12.75">
      <c r="A47" s="108" t="s">
        <v>839</v>
      </c>
      <c r="B47" s="106" t="s">
        <v>34</v>
      </c>
      <c r="C47" s="447" t="s">
        <v>374</v>
      </c>
      <c r="D47" s="447"/>
      <c r="E47" s="447"/>
      <c r="F47" s="244">
        <f>ARC!G58</f>
        <v>0</v>
      </c>
    </row>
    <row r="48" spans="1:6" ht="12.75">
      <c r="A48" s="108" t="s">
        <v>839</v>
      </c>
      <c r="B48" s="106" t="s">
        <v>41</v>
      </c>
      <c r="C48" s="447" t="s">
        <v>378</v>
      </c>
      <c r="D48" s="447"/>
      <c r="E48" s="447"/>
      <c r="F48" s="244">
        <f>ARC!G62</f>
        <v>0</v>
      </c>
    </row>
    <row r="49" spans="1:6" ht="12.75">
      <c r="A49" s="108" t="s">
        <v>839</v>
      </c>
      <c r="B49" s="106" t="s">
        <v>43</v>
      </c>
      <c r="C49" s="447" t="s">
        <v>412</v>
      </c>
      <c r="D49" s="447"/>
      <c r="E49" s="447"/>
      <c r="F49" s="244">
        <f>ARC!G96</f>
        <v>0</v>
      </c>
    </row>
    <row r="50" spans="1:6" ht="12.75">
      <c r="A50" s="108" t="s">
        <v>839</v>
      </c>
      <c r="B50" s="106" t="s">
        <v>45</v>
      </c>
      <c r="C50" s="447" t="s">
        <v>419</v>
      </c>
      <c r="D50" s="447"/>
      <c r="E50" s="447"/>
      <c r="F50" s="244">
        <f>ARC!G111</f>
        <v>0</v>
      </c>
    </row>
    <row r="51" spans="1:6" ht="12.75">
      <c r="A51" s="108" t="s">
        <v>839</v>
      </c>
      <c r="B51" s="106" t="s">
        <v>46</v>
      </c>
      <c r="C51" s="447" t="s">
        <v>421</v>
      </c>
      <c r="D51" s="447"/>
      <c r="E51" s="447"/>
      <c r="F51" s="244">
        <f>ARC!G113</f>
        <v>0</v>
      </c>
    </row>
    <row r="52" spans="1:6" ht="12.75">
      <c r="A52" s="108" t="s">
        <v>839</v>
      </c>
      <c r="B52" s="106" t="s">
        <v>59</v>
      </c>
      <c r="C52" s="447" t="s">
        <v>424</v>
      </c>
      <c r="D52" s="447"/>
      <c r="E52" s="447"/>
      <c r="F52" s="244">
        <f>ARC!G116</f>
        <v>0</v>
      </c>
    </row>
    <row r="53" spans="1:6" ht="12.75">
      <c r="A53" s="108" t="s">
        <v>839</v>
      </c>
      <c r="B53" s="106" t="s">
        <v>61</v>
      </c>
      <c r="C53" s="447" t="s">
        <v>430</v>
      </c>
      <c r="D53" s="447"/>
      <c r="E53" s="447"/>
      <c r="F53" s="244">
        <f>ARC!G126</f>
        <v>0</v>
      </c>
    </row>
    <row r="54" spans="1:6" ht="12.75">
      <c r="A54" s="108" t="s">
        <v>839</v>
      </c>
      <c r="B54" s="106" t="s">
        <v>62</v>
      </c>
      <c r="C54" s="447" t="s">
        <v>434</v>
      </c>
      <c r="D54" s="447"/>
      <c r="E54" s="447"/>
      <c r="F54" s="244">
        <f>ARC!G130</f>
        <v>0</v>
      </c>
    </row>
    <row r="55" spans="1:6" ht="12.75">
      <c r="A55" s="108" t="s">
        <v>839</v>
      </c>
      <c r="B55" s="106" t="s">
        <v>63</v>
      </c>
      <c r="C55" s="447" t="s">
        <v>438</v>
      </c>
      <c r="D55" s="447"/>
      <c r="E55" s="447"/>
      <c r="F55" s="244">
        <f>ARC!G137</f>
        <v>0</v>
      </c>
    </row>
    <row r="56" spans="1:6" ht="12.75">
      <c r="A56" s="108" t="s">
        <v>839</v>
      </c>
      <c r="B56" s="106" t="s">
        <v>64</v>
      </c>
      <c r="C56" s="447" t="s">
        <v>443</v>
      </c>
      <c r="D56" s="447"/>
      <c r="E56" s="447"/>
      <c r="F56" s="244">
        <f>ARC!G142</f>
        <v>0</v>
      </c>
    </row>
    <row r="57" spans="1:6" ht="12.75">
      <c r="A57" s="108" t="s">
        <v>839</v>
      </c>
      <c r="B57" s="106" t="s">
        <v>91</v>
      </c>
      <c r="C57" s="447" t="s">
        <v>468</v>
      </c>
      <c r="D57" s="447"/>
      <c r="E57" s="447"/>
      <c r="F57" s="244">
        <f>ARC!G167</f>
        <v>0</v>
      </c>
    </row>
    <row r="58" spans="1:6" ht="12.75">
      <c r="A58" s="108" t="s">
        <v>839</v>
      </c>
      <c r="B58" s="106" t="s">
        <v>94</v>
      </c>
      <c r="C58" s="447" t="s">
        <v>471</v>
      </c>
      <c r="D58" s="447"/>
      <c r="E58" s="447"/>
      <c r="F58" s="244">
        <f>ARC!G170</f>
        <v>0</v>
      </c>
    </row>
    <row r="59" spans="1:6" ht="12.75">
      <c r="A59" s="108" t="s">
        <v>839</v>
      </c>
      <c r="B59" s="106" t="s">
        <v>95</v>
      </c>
      <c r="C59" s="447" t="s">
        <v>473</v>
      </c>
      <c r="D59" s="447"/>
      <c r="E59" s="447"/>
      <c r="F59" s="244">
        <f>ARC!G172</f>
        <v>0</v>
      </c>
    </row>
    <row r="60" spans="1:6" ht="12.75">
      <c r="A60" s="108" t="s">
        <v>839</v>
      </c>
      <c r="B60" s="106" t="s">
        <v>285</v>
      </c>
      <c r="C60" s="447" t="s">
        <v>475</v>
      </c>
      <c r="D60" s="447"/>
      <c r="E60" s="447"/>
      <c r="F60" s="244">
        <f>ARC!G174</f>
        <v>0</v>
      </c>
    </row>
    <row r="61" spans="1:6" ht="12.75">
      <c r="A61" s="108" t="s">
        <v>840</v>
      </c>
      <c r="B61" s="106" t="s">
        <v>287</v>
      </c>
      <c r="C61" s="447" t="s">
        <v>477</v>
      </c>
      <c r="D61" s="447"/>
      <c r="E61" s="447"/>
      <c r="F61" s="244">
        <f>ARC!G176</f>
        <v>0</v>
      </c>
    </row>
    <row r="62" spans="1:6" ht="12.75">
      <c r="A62" s="108" t="s">
        <v>840</v>
      </c>
      <c r="B62" s="106" t="s">
        <v>294</v>
      </c>
      <c r="C62" s="447" t="s">
        <v>482</v>
      </c>
      <c r="D62" s="447"/>
      <c r="E62" s="447"/>
      <c r="F62" s="244">
        <f>ARC!G185</f>
        <v>0</v>
      </c>
    </row>
    <row r="63" spans="1:6" ht="12.75">
      <c r="A63" s="108" t="s">
        <v>840</v>
      </c>
      <c r="B63" s="106" t="s">
        <v>297</v>
      </c>
      <c r="C63" s="447" t="s">
        <v>484</v>
      </c>
      <c r="D63" s="447"/>
      <c r="E63" s="447"/>
      <c r="F63" s="244">
        <f>ARC!G188</f>
        <v>0</v>
      </c>
    </row>
    <row r="64" spans="1:6" ht="12.75">
      <c r="A64" s="108" t="s">
        <v>840</v>
      </c>
      <c r="B64" s="106" t="s">
        <v>298</v>
      </c>
      <c r="C64" s="447" t="s">
        <v>486</v>
      </c>
      <c r="D64" s="447"/>
      <c r="E64" s="447"/>
      <c r="F64" s="244">
        <f>ARC!G190</f>
        <v>0</v>
      </c>
    </row>
    <row r="65" spans="1:6" ht="12.75">
      <c r="A65" s="108" t="s">
        <v>840</v>
      </c>
      <c r="B65" s="106" t="s">
        <v>300</v>
      </c>
      <c r="C65" s="447" t="s">
        <v>488</v>
      </c>
      <c r="D65" s="447"/>
      <c r="E65" s="447"/>
      <c r="F65" s="244">
        <f>ARC!G192</f>
        <v>0</v>
      </c>
    </row>
    <row r="66" spans="1:6" ht="12.75">
      <c r="A66" s="108" t="s">
        <v>840</v>
      </c>
      <c r="B66" s="106" t="s">
        <v>306</v>
      </c>
      <c r="C66" s="447" t="s">
        <v>494</v>
      </c>
      <c r="D66" s="447"/>
      <c r="E66" s="447"/>
      <c r="F66" s="244">
        <f>ARC!G198</f>
        <v>0</v>
      </c>
    </row>
    <row r="67" spans="1:6" ht="12.75">
      <c r="A67" s="108" t="s">
        <v>840</v>
      </c>
      <c r="B67" s="106" t="s">
        <v>309</v>
      </c>
      <c r="C67" s="447" t="s">
        <v>503</v>
      </c>
      <c r="D67" s="447"/>
      <c r="E67" s="447"/>
      <c r="F67" s="244">
        <f>ARC!G207</f>
        <v>0</v>
      </c>
    </row>
    <row r="68" spans="1:6" ht="12.75">
      <c r="A68" s="108" t="s">
        <v>840</v>
      </c>
      <c r="B68" s="106" t="s">
        <v>313</v>
      </c>
      <c r="C68" s="447" t="s">
        <v>507</v>
      </c>
      <c r="D68" s="447"/>
      <c r="E68" s="447"/>
      <c r="F68" s="244">
        <f>ARC!G211</f>
        <v>0</v>
      </c>
    </row>
    <row r="69" spans="1:6" ht="12.75">
      <c r="A69" s="108" t="s">
        <v>841</v>
      </c>
      <c r="B69" s="106" t="s">
        <v>315</v>
      </c>
      <c r="C69" s="447" t="s">
        <v>508</v>
      </c>
      <c r="D69" s="447"/>
      <c r="E69" s="447"/>
      <c r="F69" s="244">
        <f>ARC!G213</f>
        <v>0</v>
      </c>
    </row>
    <row r="70" spans="1:6" ht="12.75">
      <c r="A70" s="108" t="s">
        <v>841</v>
      </c>
      <c r="B70" s="106" t="s">
        <v>316</v>
      </c>
      <c r="C70" s="447" t="s">
        <v>509</v>
      </c>
      <c r="D70" s="447"/>
      <c r="E70" s="447"/>
      <c r="F70" s="244">
        <f>ARC!G215</f>
        <v>0</v>
      </c>
    </row>
    <row r="71" spans="1:6" ht="12.75">
      <c r="A71" s="108" t="s">
        <v>841</v>
      </c>
      <c r="B71" s="106" t="s">
        <v>317</v>
      </c>
      <c r="C71" s="447" t="s">
        <v>510</v>
      </c>
      <c r="D71" s="447"/>
      <c r="E71" s="447"/>
      <c r="F71" s="244">
        <f>ARC!G217</f>
        <v>0</v>
      </c>
    </row>
    <row r="72" spans="1:6" ht="12.75">
      <c r="A72" s="108" t="s">
        <v>839</v>
      </c>
      <c r="B72" s="106" t="s">
        <v>96</v>
      </c>
      <c r="C72" s="447" t="s">
        <v>511</v>
      </c>
      <c r="D72" s="447"/>
      <c r="E72" s="447"/>
      <c r="F72" s="244">
        <f>ARC!G219</f>
        <v>0</v>
      </c>
    </row>
    <row r="73" spans="1:6" ht="12.75">
      <c r="A73" s="108" t="s">
        <v>839</v>
      </c>
      <c r="B73" s="106" t="s">
        <v>330</v>
      </c>
      <c r="C73" s="447" t="s">
        <v>531</v>
      </c>
      <c r="D73" s="447"/>
      <c r="E73" s="447"/>
      <c r="F73" s="244">
        <f>ARC!G242</f>
        <v>0</v>
      </c>
    </row>
    <row r="74" spans="1:6" ht="12.75">
      <c r="A74" s="108" t="s">
        <v>862</v>
      </c>
      <c r="B74" s="106" t="s">
        <v>862</v>
      </c>
      <c r="C74" s="447" t="s">
        <v>842</v>
      </c>
      <c r="D74" s="447"/>
      <c r="E74" s="447"/>
      <c r="F74" s="244">
        <f>VN!G26</f>
        <v>0</v>
      </c>
    </row>
    <row r="75" spans="1:6" ht="13.5" thickBot="1">
      <c r="A75" s="115" t="s">
        <v>860</v>
      </c>
      <c r="B75" s="116"/>
      <c r="C75" s="465"/>
      <c r="D75" s="466"/>
      <c r="E75" s="467"/>
      <c r="F75" s="117">
        <f>SUM(F40:F74)</f>
        <v>0</v>
      </c>
    </row>
    <row r="76" ht="12.75">
      <c r="E76" s="245"/>
    </row>
  </sheetData>
  <sheetProtection password="CC4E" sheet="1" selectLockedCells="1"/>
  <protectedRanges>
    <protectedRange sqref="C11:F13 B13 H11:H12" name="Oblast1"/>
  </protectedRanges>
  <mergeCells count="72">
    <mergeCell ref="C74:E74"/>
    <mergeCell ref="C75:E75"/>
    <mergeCell ref="C68:E68"/>
    <mergeCell ref="C69:E69"/>
    <mergeCell ref="C70:E70"/>
    <mergeCell ref="C71:E71"/>
    <mergeCell ref="C72:E72"/>
    <mergeCell ref="C73:E73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44:E44"/>
    <mergeCell ref="C45:E45"/>
    <mergeCell ref="C46:E46"/>
    <mergeCell ref="C47:E47"/>
    <mergeCell ref="C48:E48"/>
    <mergeCell ref="C49:E49"/>
    <mergeCell ref="B2:I2"/>
    <mergeCell ref="C39:E39"/>
    <mergeCell ref="C40:E40"/>
    <mergeCell ref="D15:E15"/>
    <mergeCell ref="F15:G15"/>
    <mergeCell ref="H15:I15"/>
    <mergeCell ref="D16:E16"/>
    <mergeCell ref="H16:I16"/>
    <mergeCell ref="D17:E17"/>
    <mergeCell ref="F17:G17"/>
    <mergeCell ref="C41:E41"/>
    <mergeCell ref="C42:E42"/>
    <mergeCell ref="C43:E43"/>
    <mergeCell ref="A1:I1"/>
    <mergeCell ref="D3:I3"/>
    <mergeCell ref="D4:I4"/>
    <mergeCell ref="C11:F11"/>
    <mergeCell ref="C12:F12"/>
    <mergeCell ref="C13:F13"/>
    <mergeCell ref="F16:G16"/>
    <mergeCell ref="H17:I17"/>
    <mergeCell ref="D18:E18"/>
    <mergeCell ref="F18:G18"/>
    <mergeCell ref="H18:I18"/>
    <mergeCell ref="F26:H26"/>
    <mergeCell ref="F27:H27"/>
    <mergeCell ref="D19:E19"/>
    <mergeCell ref="F19:G19"/>
    <mergeCell ref="H19:I19"/>
    <mergeCell ref="D20:E20"/>
    <mergeCell ref="F20:G20"/>
    <mergeCell ref="H20:I20"/>
    <mergeCell ref="D22:E22"/>
    <mergeCell ref="D23:E23"/>
    <mergeCell ref="D24:E24"/>
    <mergeCell ref="D25:E25"/>
    <mergeCell ref="F22:H22"/>
    <mergeCell ref="F23:H23"/>
    <mergeCell ref="F24:H24"/>
    <mergeCell ref="F25:H25"/>
  </mergeCells>
  <printOptions/>
  <pageMargins left="0.394" right="0.394" top="0.591" bottom="0.591" header="0.5" footer="0.5"/>
  <pageSetup fitToHeight="0" fitToWidth="1" horizontalDpi="600" verticalDpi="600" orientation="landscape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978"/>
  <sheetViews>
    <sheetView zoomScalePageLayoutView="0" workbookViewId="0" topLeftCell="A1">
      <selection activeCell="F9" sqref="F9"/>
    </sheetView>
  </sheetViews>
  <sheetFormatPr defaultColWidth="9.140625" defaultRowHeight="12.75" outlineLevelRow="1"/>
  <cols>
    <col min="1" max="1" width="3.421875" style="28" customWidth="1"/>
    <col min="2" max="2" width="12.57421875" style="127" customWidth="1"/>
    <col min="3" max="3" width="63.28125" style="127" customWidth="1"/>
    <col min="4" max="4" width="6.57421875" style="28" customWidth="1"/>
    <col min="5" max="5" width="10.57421875" style="28" customWidth="1"/>
    <col min="6" max="6" width="9.8515625" style="28" customWidth="1"/>
    <col min="7" max="7" width="12.7109375" style="28" customWidth="1"/>
    <col min="8" max="9" width="9.140625" style="28" customWidth="1"/>
    <col min="10" max="10" width="0" style="28" hidden="1" customWidth="1"/>
    <col min="11" max="11" width="9.140625" style="28" customWidth="1"/>
    <col min="12" max="22" width="0" style="28" hidden="1" customWidth="1"/>
    <col min="23" max="33" width="9.140625" style="28" customWidth="1"/>
    <col min="34" max="34" width="98.7109375" style="28" customWidth="1"/>
    <col min="35" max="16384" width="9.140625" style="28" customWidth="1"/>
  </cols>
  <sheetData>
    <row r="1" spans="1:14" ht="15.75" customHeight="1">
      <c r="A1" s="468" t="s">
        <v>917</v>
      </c>
      <c r="B1" s="468"/>
      <c r="C1" s="468"/>
      <c r="D1" s="468"/>
      <c r="E1" s="468"/>
      <c r="F1" s="468"/>
      <c r="G1" s="468"/>
      <c r="N1" s="28" t="s">
        <v>945</v>
      </c>
    </row>
    <row r="2" spans="1:14" ht="24.75" customHeight="1">
      <c r="A2" s="125" t="s">
        <v>918</v>
      </c>
      <c r="B2" s="131" t="s">
        <v>923</v>
      </c>
      <c r="C2" s="469" t="s">
        <v>991</v>
      </c>
      <c r="D2" s="470"/>
      <c r="E2" s="470"/>
      <c r="F2" s="470"/>
      <c r="G2" s="471"/>
      <c r="N2" s="28" t="s">
        <v>946</v>
      </c>
    </row>
    <row r="3" spans="1:14" ht="24.75" customHeight="1">
      <c r="A3" s="125" t="s">
        <v>919</v>
      </c>
      <c r="B3" s="126" t="s">
        <v>920</v>
      </c>
      <c r="C3" s="472" t="s">
        <v>921</v>
      </c>
      <c r="D3" s="470"/>
      <c r="E3" s="470"/>
      <c r="F3" s="470"/>
      <c r="G3" s="471"/>
      <c r="J3" s="127" t="s">
        <v>947</v>
      </c>
      <c r="N3" s="28" t="s">
        <v>948</v>
      </c>
    </row>
    <row r="4" spans="1:14" ht="24.75" customHeight="1">
      <c r="A4" s="133" t="s">
        <v>922</v>
      </c>
      <c r="B4" s="256" t="s">
        <v>923</v>
      </c>
      <c r="C4" s="473" t="s">
        <v>756</v>
      </c>
      <c r="D4" s="474"/>
      <c r="E4" s="474"/>
      <c r="F4" s="474"/>
      <c r="G4" s="475"/>
      <c r="N4" s="28" t="s">
        <v>949</v>
      </c>
    </row>
    <row r="5" ht="12.75">
      <c r="D5" s="30"/>
    </row>
    <row r="6" spans="1:7" ht="12.75">
      <c r="A6" s="168" t="s">
        <v>924</v>
      </c>
      <c r="B6" s="169" t="s">
        <v>925</v>
      </c>
      <c r="C6" s="169" t="s">
        <v>926</v>
      </c>
      <c r="D6" s="170" t="s">
        <v>713</v>
      </c>
      <c r="E6" s="168" t="s">
        <v>814</v>
      </c>
      <c r="F6" s="171" t="s">
        <v>927</v>
      </c>
      <c r="G6" s="168" t="s">
        <v>552</v>
      </c>
    </row>
    <row r="7" spans="1:7" ht="12.75" hidden="1">
      <c r="A7" s="155"/>
      <c r="B7" s="156"/>
      <c r="C7" s="156"/>
      <c r="D7" s="157"/>
      <c r="E7" s="158"/>
      <c r="F7" s="159"/>
      <c r="G7" s="159"/>
    </row>
    <row r="8" spans="1:14" ht="12.75">
      <c r="A8" s="141" t="s">
        <v>928</v>
      </c>
      <c r="B8" s="142" t="s">
        <v>862</v>
      </c>
      <c r="C8" s="143" t="s">
        <v>842</v>
      </c>
      <c r="D8" s="144"/>
      <c r="E8" s="145"/>
      <c r="F8" s="146"/>
      <c r="G8" s="146">
        <f>G9+G11+G13+G15+G19</f>
        <v>0</v>
      </c>
      <c r="N8" s="28" t="s">
        <v>950</v>
      </c>
    </row>
    <row r="9" spans="1:41" ht="12.75" outlineLevel="1">
      <c r="A9" s="160">
        <v>1</v>
      </c>
      <c r="B9" s="161" t="s">
        <v>930</v>
      </c>
      <c r="C9" s="162" t="s">
        <v>931</v>
      </c>
      <c r="D9" s="163" t="s">
        <v>929</v>
      </c>
      <c r="E9" s="164">
        <v>1</v>
      </c>
      <c r="F9" s="165">
        <v>0</v>
      </c>
      <c r="G9" s="164">
        <f>E9*F9</f>
        <v>0</v>
      </c>
      <c r="H9" s="129"/>
      <c r="I9" s="129"/>
      <c r="J9" s="129"/>
      <c r="K9" s="129"/>
      <c r="L9" s="129"/>
      <c r="M9" s="129"/>
      <c r="N9" s="129" t="s">
        <v>951</v>
      </c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</row>
    <row r="10" spans="1:41" ht="12.75" outlineLevel="1">
      <c r="A10" s="166"/>
      <c r="B10" s="167"/>
      <c r="C10" s="476" t="s">
        <v>932</v>
      </c>
      <c r="D10" s="477"/>
      <c r="E10" s="477"/>
      <c r="F10" s="477"/>
      <c r="G10" s="477"/>
      <c r="H10" s="129"/>
      <c r="I10" s="129"/>
      <c r="J10" s="129"/>
      <c r="K10" s="129"/>
      <c r="L10" s="129"/>
      <c r="M10" s="129"/>
      <c r="N10" s="129" t="s">
        <v>952</v>
      </c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</row>
    <row r="11" spans="1:41" ht="12.75" outlineLevel="1">
      <c r="A11" s="160">
        <v>2</v>
      </c>
      <c r="B11" s="161" t="s">
        <v>933</v>
      </c>
      <c r="C11" s="162" t="s">
        <v>934</v>
      </c>
      <c r="D11" s="163" t="s">
        <v>929</v>
      </c>
      <c r="E11" s="164">
        <v>1</v>
      </c>
      <c r="F11" s="165">
        <v>0</v>
      </c>
      <c r="G11" s="164">
        <f>E11*F11</f>
        <v>0</v>
      </c>
      <c r="H11" s="129"/>
      <c r="I11" s="129"/>
      <c r="J11" s="129"/>
      <c r="K11" s="129"/>
      <c r="L11" s="129"/>
      <c r="M11" s="129"/>
      <c r="N11" s="129" t="s">
        <v>951</v>
      </c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</row>
    <row r="12" spans="1:41" ht="12.75" outlineLevel="1">
      <c r="A12" s="166"/>
      <c r="B12" s="167"/>
      <c r="C12" s="476" t="s">
        <v>935</v>
      </c>
      <c r="D12" s="477"/>
      <c r="E12" s="477"/>
      <c r="F12" s="477"/>
      <c r="G12" s="477"/>
      <c r="H12" s="129"/>
      <c r="I12" s="129"/>
      <c r="J12" s="129"/>
      <c r="K12" s="129"/>
      <c r="L12" s="129"/>
      <c r="M12" s="129"/>
      <c r="N12" s="129" t="s">
        <v>952</v>
      </c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</row>
    <row r="13" spans="1:41" ht="12.75" outlineLevel="1">
      <c r="A13" s="160">
        <v>3</v>
      </c>
      <c r="B13" s="161" t="s">
        <v>936</v>
      </c>
      <c r="C13" s="162" t="s">
        <v>937</v>
      </c>
      <c r="D13" s="163" t="s">
        <v>929</v>
      </c>
      <c r="E13" s="164">
        <v>1</v>
      </c>
      <c r="F13" s="165">
        <v>0</v>
      </c>
      <c r="G13" s="164">
        <f>E13*F13</f>
        <v>0</v>
      </c>
      <c r="H13" s="129"/>
      <c r="I13" s="129"/>
      <c r="J13" s="129"/>
      <c r="K13" s="129"/>
      <c r="L13" s="129"/>
      <c r="M13" s="129"/>
      <c r="N13" s="129" t="s">
        <v>951</v>
      </c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</row>
    <row r="14" spans="1:41" ht="39" customHeight="1" outlineLevel="1">
      <c r="A14" s="166"/>
      <c r="B14" s="167"/>
      <c r="C14" s="476" t="s">
        <v>938</v>
      </c>
      <c r="D14" s="477"/>
      <c r="E14" s="477"/>
      <c r="F14" s="477"/>
      <c r="G14" s="477"/>
      <c r="H14" s="129"/>
      <c r="I14" s="129"/>
      <c r="J14" s="129"/>
      <c r="K14" s="129"/>
      <c r="L14" s="129"/>
      <c r="M14" s="129"/>
      <c r="N14" s="129" t="s">
        <v>952</v>
      </c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30" t="str">
        <f>C14</f>
        <v>Zpracování a kompletace projektové dokumentace skutečného provedení stavby se zakreslením změn 2 x v tištěné podobě 1 x v digitální podobě na CD nosiči, ve formátu PDF. Textové části je možno vytvářet ve formátech RTF (Rich Text File) nebo DOC Microsoft Word).</v>
      </c>
      <c r="AI14" s="129"/>
      <c r="AJ14" s="129"/>
      <c r="AK14" s="129"/>
      <c r="AL14" s="129"/>
      <c r="AM14" s="129"/>
      <c r="AN14" s="129"/>
      <c r="AO14" s="129"/>
    </row>
    <row r="15" spans="1:41" ht="12.75" outlineLevel="1">
      <c r="A15" s="160">
        <v>4</v>
      </c>
      <c r="B15" s="161" t="s">
        <v>939</v>
      </c>
      <c r="C15" s="162" t="s">
        <v>940</v>
      </c>
      <c r="D15" s="163" t="s">
        <v>929</v>
      </c>
      <c r="E15" s="164">
        <v>1</v>
      </c>
      <c r="F15" s="165">
        <v>0</v>
      </c>
      <c r="G15" s="164">
        <f>E15*F15</f>
        <v>0</v>
      </c>
      <c r="H15" s="129"/>
      <c r="I15" s="129"/>
      <c r="J15" s="129"/>
      <c r="K15" s="129"/>
      <c r="L15" s="129"/>
      <c r="M15" s="129"/>
      <c r="N15" s="129" t="s">
        <v>951</v>
      </c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</row>
    <row r="16" spans="1:41" ht="25.5" customHeight="1" outlineLevel="1">
      <c r="A16" s="166"/>
      <c r="B16" s="167"/>
      <c r="C16" s="476" t="s">
        <v>957</v>
      </c>
      <c r="D16" s="477"/>
      <c r="E16" s="477"/>
      <c r="F16" s="477"/>
      <c r="G16" s="477"/>
      <c r="H16" s="129"/>
      <c r="I16" s="129"/>
      <c r="J16" s="129"/>
      <c r="K16" s="129"/>
      <c r="L16" s="129"/>
      <c r="M16" s="129"/>
      <c r="N16" s="129" t="s">
        <v>952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30" t="str">
        <f>C16</f>
        <v>Zaměření skutečného provedení obshuje zaměření vlastního objektu MěKS, trasy upravovaných či budovaných inženýrských sítí včetně přípojek, zaměření průběhu oplocení a chodníků.</v>
      </c>
      <c r="AI16" s="129"/>
      <c r="AJ16" s="129"/>
      <c r="AK16" s="129"/>
      <c r="AL16" s="129"/>
      <c r="AM16" s="129"/>
      <c r="AN16" s="129"/>
      <c r="AO16" s="129"/>
    </row>
    <row r="17" spans="1:41" ht="25.5" customHeight="1" outlineLevel="1">
      <c r="A17" s="166"/>
      <c r="B17" s="167"/>
      <c r="C17" s="478" t="s">
        <v>941</v>
      </c>
      <c r="D17" s="479"/>
      <c r="E17" s="479"/>
      <c r="F17" s="479"/>
      <c r="G17" s="479"/>
      <c r="H17" s="129"/>
      <c r="I17" s="129"/>
      <c r="J17" s="129"/>
      <c r="K17" s="129"/>
      <c r="L17" s="129"/>
      <c r="M17" s="129"/>
      <c r="N17" s="129" t="s">
        <v>952</v>
      </c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30" t="str">
        <f>C17</f>
        <v>Vše bude zaměřeno v souřadnicích na podkladu katastrální mapy a dle požadavků správců sítí, v počtu 5 x tištěná forma a 2 x elektronická forma na CD.</v>
      </c>
      <c r="AI17" s="129"/>
      <c r="AJ17" s="129"/>
      <c r="AK17" s="129"/>
      <c r="AL17" s="129"/>
      <c r="AM17" s="129"/>
      <c r="AN17" s="129"/>
      <c r="AO17" s="129"/>
    </row>
    <row r="18" spans="1:41" ht="25.5" customHeight="1" outlineLevel="1">
      <c r="A18" s="166"/>
      <c r="B18" s="167"/>
      <c r="C18" s="478" t="s">
        <v>942</v>
      </c>
      <c r="D18" s="479"/>
      <c r="E18" s="479"/>
      <c r="F18" s="479"/>
      <c r="G18" s="479"/>
      <c r="H18" s="129"/>
      <c r="I18" s="129"/>
      <c r="J18" s="129"/>
      <c r="K18" s="129"/>
      <c r="L18" s="129"/>
      <c r="M18" s="129"/>
      <c r="N18" s="129" t="s">
        <v>952</v>
      </c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30" t="str">
        <f>C18</f>
        <v>Součástí bude i vyhotovení geometrického plánu realizovaných objektů stavby v počtu 3 ks, který bude sloužit pro vklad do katastru nemovitostí.</v>
      </c>
      <c r="AI18" s="129"/>
      <c r="AJ18" s="129"/>
      <c r="AK18" s="129"/>
      <c r="AL18" s="129"/>
      <c r="AM18" s="129"/>
      <c r="AN18" s="129"/>
      <c r="AO18" s="129"/>
    </row>
    <row r="19" spans="1:41" ht="12.75" outlineLevel="1">
      <c r="A19" s="160">
        <v>5</v>
      </c>
      <c r="B19" s="161" t="s">
        <v>943</v>
      </c>
      <c r="C19" s="162" t="s">
        <v>978</v>
      </c>
      <c r="D19" s="163" t="s">
        <v>929</v>
      </c>
      <c r="E19" s="164">
        <v>1</v>
      </c>
      <c r="F19" s="165">
        <v>0</v>
      </c>
      <c r="G19" s="164">
        <f>E19*F19</f>
        <v>0</v>
      </c>
      <c r="H19" s="129"/>
      <c r="I19" s="129"/>
      <c r="J19" s="129"/>
      <c r="K19" s="129"/>
      <c r="L19" s="129"/>
      <c r="M19" s="129"/>
      <c r="N19" s="129" t="s">
        <v>951</v>
      </c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</row>
    <row r="20" spans="1:41" ht="25.5" customHeight="1" outlineLevel="1">
      <c r="A20" s="166"/>
      <c r="B20" s="167"/>
      <c r="C20" s="476" t="s">
        <v>979</v>
      </c>
      <c r="D20" s="477"/>
      <c r="E20" s="477"/>
      <c r="F20" s="477"/>
      <c r="G20" s="477"/>
      <c r="H20" s="129"/>
      <c r="I20" s="129"/>
      <c r="J20" s="129"/>
      <c r="K20" s="129"/>
      <c r="L20" s="129"/>
      <c r="M20" s="129"/>
      <c r="N20" s="129" t="s">
        <v>952</v>
      </c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30" t="str">
        <f>C20</f>
        <v>Náklady zhotovitele, související s prováděním zkoušek a revizí předepsaných technickými normami nebo objednatelem a které jsou pro provedení díla nezbytné, např.:</v>
      </c>
      <c r="AI20" s="129"/>
      <c r="AJ20" s="129"/>
      <c r="AK20" s="129"/>
      <c r="AL20" s="129"/>
      <c r="AM20" s="129"/>
      <c r="AN20" s="129"/>
      <c r="AO20" s="129"/>
    </row>
    <row r="21" spans="1:41" ht="12.75" outlineLevel="1">
      <c r="A21" s="166"/>
      <c r="B21" s="167"/>
      <c r="C21" s="478" t="s">
        <v>977</v>
      </c>
      <c r="D21" s="479"/>
      <c r="E21" s="479"/>
      <c r="F21" s="479"/>
      <c r="G21" s="479"/>
      <c r="H21" s="129"/>
      <c r="I21" s="129"/>
      <c r="J21" s="129"/>
      <c r="K21" s="129"/>
      <c r="L21" s="129"/>
      <c r="M21" s="129"/>
      <c r="N21" s="129" t="s">
        <v>952</v>
      </c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</row>
    <row r="22" spans="1:41" ht="12.75" outlineLevel="1">
      <c r="A22" s="166"/>
      <c r="B22" s="167"/>
      <c r="C22" s="478" t="s">
        <v>944</v>
      </c>
      <c r="D22" s="479"/>
      <c r="E22" s="479"/>
      <c r="F22" s="479"/>
      <c r="G22" s="479"/>
      <c r="H22" s="129"/>
      <c r="I22" s="129"/>
      <c r="J22" s="129"/>
      <c r="K22" s="129"/>
      <c r="L22" s="129"/>
      <c r="M22" s="129"/>
      <c r="N22" s="129" t="s">
        <v>952</v>
      </c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</row>
    <row r="23" spans="1:41" ht="12.75" outlineLevel="1">
      <c r="A23" s="166"/>
      <c r="B23" s="167"/>
      <c r="C23" s="478" t="s">
        <v>980</v>
      </c>
      <c r="D23" s="479"/>
      <c r="E23" s="479"/>
      <c r="F23" s="479"/>
      <c r="G23" s="479"/>
      <c r="H23" s="129"/>
      <c r="I23" s="129"/>
      <c r="J23" s="129"/>
      <c r="K23" s="129"/>
      <c r="L23" s="129"/>
      <c r="M23" s="129"/>
      <c r="N23" s="129" t="s">
        <v>952</v>
      </c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</row>
    <row r="24" spans="1:41" ht="12.75" outlineLevel="1">
      <c r="A24" s="166"/>
      <c r="B24" s="167"/>
      <c r="C24" s="478" t="s">
        <v>981</v>
      </c>
      <c r="D24" s="479"/>
      <c r="E24" s="479"/>
      <c r="F24" s="479"/>
      <c r="G24" s="479"/>
      <c r="H24" s="129"/>
      <c r="I24" s="129"/>
      <c r="J24" s="129"/>
      <c r="K24" s="129"/>
      <c r="L24" s="129"/>
      <c r="M24" s="129"/>
      <c r="N24" s="129" t="s">
        <v>952</v>
      </c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</row>
    <row r="25" spans="1:41" ht="12.75" outlineLevel="1">
      <c r="A25" s="166"/>
      <c r="B25" s="167"/>
      <c r="C25" s="478" t="s">
        <v>982</v>
      </c>
      <c r="D25" s="479"/>
      <c r="E25" s="479"/>
      <c r="F25" s="479"/>
      <c r="G25" s="479"/>
      <c r="H25" s="129"/>
      <c r="I25" s="129"/>
      <c r="J25" s="129"/>
      <c r="K25" s="129"/>
      <c r="L25" s="129"/>
      <c r="M25" s="129"/>
      <c r="N25" s="129" t="s">
        <v>952</v>
      </c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</row>
    <row r="26" spans="1:14" ht="12.75">
      <c r="A26" s="154"/>
      <c r="B26" s="147" t="s">
        <v>552</v>
      </c>
      <c r="C26" s="148"/>
      <c r="D26" s="149"/>
      <c r="E26" s="150"/>
      <c r="F26" s="150"/>
      <c r="G26" s="151">
        <f>G8</f>
        <v>0</v>
      </c>
      <c r="L26" s="28" t="e">
        <f>SUMIF(#REF!,#REF!,G7:G25)</f>
        <v>#REF!</v>
      </c>
      <c r="M26" s="28" t="e">
        <f>SUMIF(#REF!,#REF!,G7:G25)</f>
        <v>#REF!</v>
      </c>
      <c r="N26" s="28" t="s">
        <v>953</v>
      </c>
    </row>
    <row r="27" spans="3:14" ht="12.75">
      <c r="C27" s="128"/>
      <c r="D27" s="30"/>
      <c r="N27" s="28" t="s">
        <v>954</v>
      </c>
    </row>
    <row r="28" ht="12.75">
      <c r="D28" s="30"/>
    </row>
    <row r="29" ht="12.75">
      <c r="D29" s="30"/>
    </row>
    <row r="30" ht="12.75">
      <c r="D30" s="30"/>
    </row>
    <row r="31" ht="12.75">
      <c r="D31" s="30"/>
    </row>
    <row r="32" ht="12.75">
      <c r="D32" s="30"/>
    </row>
    <row r="33" ht="12.75">
      <c r="D33" s="30"/>
    </row>
    <row r="34" ht="12.75">
      <c r="D34" s="30"/>
    </row>
    <row r="35" ht="12.75">
      <c r="D35" s="30"/>
    </row>
    <row r="36" ht="12.75">
      <c r="D36" s="30"/>
    </row>
    <row r="37" ht="12.75">
      <c r="D37" s="30"/>
    </row>
    <row r="38" ht="12.75">
      <c r="D38" s="30"/>
    </row>
    <row r="39" ht="12.75">
      <c r="D39" s="30"/>
    </row>
    <row r="40" ht="12.75">
      <c r="D40" s="30"/>
    </row>
    <row r="41" ht="12.75">
      <c r="D41" s="30"/>
    </row>
    <row r="42" ht="12.75">
      <c r="D42" s="30"/>
    </row>
    <row r="43" ht="12.75">
      <c r="D43" s="30"/>
    </row>
    <row r="44" ht="12.75">
      <c r="D44" s="30"/>
    </row>
    <row r="45" ht="12.75">
      <c r="D45" s="30"/>
    </row>
    <row r="46" ht="12.75">
      <c r="D46" s="30"/>
    </row>
    <row r="47" ht="12.75">
      <c r="D47" s="30"/>
    </row>
    <row r="48" ht="12.75">
      <c r="D48" s="30"/>
    </row>
    <row r="49" ht="12.75">
      <c r="D49" s="30"/>
    </row>
    <row r="50" ht="12.75">
      <c r="D50" s="30"/>
    </row>
    <row r="51" ht="12.75">
      <c r="D51" s="30"/>
    </row>
    <row r="52" ht="12.75">
      <c r="D52" s="30"/>
    </row>
    <row r="53" ht="12.75">
      <c r="D53" s="30"/>
    </row>
    <row r="54" ht="12.75">
      <c r="D54" s="30"/>
    </row>
    <row r="55" ht="12.75">
      <c r="D55" s="30"/>
    </row>
    <row r="56" ht="12.75">
      <c r="D56" s="30"/>
    </row>
    <row r="57" ht="12.75">
      <c r="D57" s="30"/>
    </row>
    <row r="58" ht="12.75">
      <c r="D58" s="30"/>
    </row>
    <row r="59" ht="12.75">
      <c r="D59" s="30"/>
    </row>
    <row r="60" ht="12.75">
      <c r="D60" s="30"/>
    </row>
    <row r="61" ht="12.75">
      <c r="D61" s="30"/>
    </row>
    <row r="62" ht="12.75">
      <c r="D62" s="30"/>
    </row>
    <row r="63" ht="12.75">
      <c r="D63" s="30"/>
    </row>
    <row r="64" ht="12.75">
      <c r="D64" s="30"/>
    </row>
    <row r="65" ht="12.75">
      <c r="D65" s="30"/>
    </row>
    <row r="66" ht="12.75">
      <c r="D66" s="30"/>
    </row>
    <row r="67" ht="12.75">
      <c r="D67" s="30"/>
    </row>
    <row r="68" ht="12.75">
      <c r="D68" s="30"/>
    </row>
    <row r="69" ht="12.75">
      <c r="D69" s="30"/>
    </row>
    <row r="70" ht="12.75">
      <c r="D70" s="30"/>
    </row>
    <row r="71" ht="12.75">
      <c r="D71" s="30"/>
    </row>
    <row r="72" ht="12.75">
      <c r="D72" s="30"/>
    </row>
    <row r="73" ht="12.75">
      <c r="D73" s="30"/>
    </row>
    <row r="74" ht="12.75">
      <c r="D74" s="30"/>
    </row>
    <row r="75" ht="12.75">
      <c r="D75" s="30"/>
    </row>
    <row r="76" ht="12.75">
      <c r="D76" s="30"/>
    </row>
    <row r="77" ht="12.75">
      <c r="D77" s="30"/>
    </row>
    <row r="78" ht="12.75">
      <c r="D78" s="30"/>
    </row>
    <row r="79" ht="12.75">
      <c r="D79" s="30"/>
    </row>
    <row r="80" ht="12.75">
      <c r="D80" s="30"/>
    </row>
    <row r="81" ht="12.75">
      <c r="D81" s="30"/>
    </row>
    <row r="82" ht="12.75">
      <c r="D82" s="30"/>
    </row>
    <row r="83" ht="12.75">
      <c r="D83" s="30"/>
    </row>
    <row r="84" ht="12.75">
      <c r="D84" s="30"/>
    </row>
    <row r="85" ht="12.75">
      <c r="D85" s="30"/>
    </row>
    <row r="86" ht="12.75">
      <c r="D86" s="30"/>
    </row>
    <row r="87" ht="12.75">
      <c r="D87" s="30"/>
    </row>
    <row r="88" ht="12.75">
      <c r="D88" s="30"/>
    </row>
    <row r="89" ht="12.75">
      <c r="D89" s="30"/>
    </row>
    <row r="90" ht="12.75">
      <c r="D90" s="30"/>
    </row>
    <row r="91" ht="12.75">
      <c r="D91" s="30"/>
    </row>
    <row r="92" ht="12.75">
      <c r="D92" s="30"/>
    </row>
    <row r="93" ht="12.75">
      <c r="D93" s="30"/>
    </row>
    <row r="94" ht="12.75">
      <c r="D94" s="30"/>
    </row>
    <row r="95" ht="12.75">
      <c r="D95" s="30"/>
    </row>
    <row r="96" ht="12.75">
      <c r="D96" s="30"/>
    </row>
    <row r="97" ht="12.75">
      <c r="D97" s="30"/>
    </row>
    <row r="98" ht="12.75">
      <c r="D98" s="30"/>
    </row>
    <row r="99" ht="12.75">
      <c r="D99" s="30"/>
    </row>
    <row r="100" ht="12.75">
      <c r="D100" s="30"/>
    </row>
    <row r="101" ht="12.75">
      <c r="D101" s="30"/>
    </row>
    <row r="102" ht="12.75">
      <c r="D102" s="30"/>
    </row>
    <row r="103" ht="12.75">
      <c r="D103" s="30"/>
    </row>
    <row r="104" ht="12.75">
      <c r="D104" s="30"/>
    </row>
    <row r="105" ht="12.75">
      <c r="D105" s="30"/>
    </row>
    <row r="106" ht="12.75">
      <c r="D106" s="30"/>
    </row>
    <row r="107" ht="12.75">
      <c r="D107" s="30"/>
    </row>
    <row r="108" ht="12.75">
      <c r="D108" s="30"/>
    </row>
    <row r="109" ht="12.75">
      <c r="D109" s="30"/>
    </row>
    <row r="110" ht="12.75">
      <c r="D110" s="30"/>
    </row>
    <row r="111" ht="12.75">
      <c r="D111" s="30"/>
    </row>
    <row r="112" ht="12.75">
      <c r="D112" s="30"/>
    </row>
    <row r="113" ht="12.75">
      <c r="D113" s="30"/>
    </row>
    <row r="114" ht="12.75">
      <c r="D114" s="30"/>
    </row>
    <row r="115" ht="12.75">
      <c r="D115" s="30"/>
    </row>
    <row r="116" ht="12.75">
      <c r="D116" s="30"/>
    </row>
    <row r="117" ht="12.75">
      <c r="D117" s="30"/>
    </row>
    <row r="118" ht="12.75">
      <c r="D118" s="30"/>
    </row>
    <row r="119" ht="12.75">
      <c r="D119" s="30"/>
    </row>
    <row r="120" ht="12.75">
      <c r="D120" s="30"/>
    </row>
    <row r="121" ht="12.75">
      <c r="D121" s="30"/>
    </row>
    <row r="122" ht="12.75">
      <c r="D122" s="30"/>
    </row>
    <row r="123" ht="12.75">
      <c r="D123" s="30"/>
    </row>
    <row r="124" ht="12.75">
      <c r="D124" s="30"/>
    </row>
    <row r="125" ht="12.75">
      <c r="D125" s="30"/>
    </row>
    <row r="126" ht="12.75">
      <c r="D126" s="30"/>
    </row>
    <row r="127" ht="12.75">
      <c r="D127" s="30"/>
    </row>
    <row r="128" ht="12.75">
      <c r="D128" s="30"/>
    </row>
    <row r="129" ht="12.75">
      <c r="D129" s="30"/>
    </row>
    <row r="130" ht="12.75">
      <c r="D130" s="30"/>
    </row>
    <row r="131" ht="12.75">
      <c r="D131" s="30"/>
    </row>
    <row r="132" ht="12.75">
      <c r="D132" s="30"/>
    </row>
    <row r="133" ht="12.75">
      <c r="D133" s="30"/>
    </row>
    <row r="134" ht="12.75">
      <c r="D134" s="30"/>
    </row>
    <row r="135" ht="12.75">
      <c r="D135" s="30"/>
    </row>
    <row r="136" ht="12.75">
      <c r="D136" s="30"/>
    </row>
    <row r="137" ht="12.75">
      <c r="D137" s="30"/>
    </row>
    <row r="138" ht="12.75">
      <c r="D138" s="30"/>
    </row>
    <row r="139" ht="12.75">
      <c r="D139" s="30"/>
    </row>
    <row r="140" ht="12.75">
      <c r="D140" s="30"/>
    </row>
    <row r="141" ht="12.75">
      <c r="D141" s="30"/>
    </row>
    <row r="142" ht="12.75">
      <c r="D142" s="30"/>
    </row>
    <row r="143" ht="12.75">
      <c r="D143" s="30"/>
    </row>
    <row r="144" ht="12.75">
      <c r="D144" s="30"/>
    </row>
    <row r="145" ht="12.75">
      <c r="D145" s="30"/>
    </row>
    <row r="146" ht="12.75">
      <c r="D146" s="30"/>
    </row>
    <row r="147" ht="12.75">
      <c r="D147" s="30"/>
    </row>
    <row r="148" ht="12.75">
      <c r="D148" s="30"/>
    </row>
    <row r="149" ht="12.75">
      <c r="D149" s="30"/>
    </row>
    <row r="150" ht="12.75">
      <c r="D150" s="30"/>
    </row>
    <row r="151" ht="12.75">
      <c r="D151" s="30"/>
    </row>
    <row r="152" ht="12.75">
      <c r="D152" s="30"/>
    </row>
    <row r="153" ht="12.75">
      <c r="D153" s="30"/>
    </row>
    <row r="154" ht="12.75">
      <c r="D154" s="30"/>
    </row>
    <row r="155" ht="12.75">
      <c r="D155" s="30"/>
    </row>
    <row r="156" ht="12.75">
      <c r="D156" s="30"/>
    </row>
    <row r="157" ht="12.75">
      <c r="D157" s="30"/>
    </row>
    <row r="158" ht="12.75">
      <c r="D158" s="30"/>
    </row>
    <row r="159" ht="12.75">
      <c r="D159" s="30"/>
    </row>
    <row r="160" ht="12.75">
      <c r="D160" s="30"/>
    </row>
    <row r="161" ht="12.75">
      <c r="D161" s="30"/>
    </row>
    <row r="162" ht="12.75">
      <c r="D162" s="30"/>
    </row>
    <row r="163" ht="12.75">
      <c r="D163" s="30"/>
    </row>
    <row r="164" ht="12.75">
      <c r="D164" s="30"/>
    </row>
    <row r="165" ht="12.75">
      <c r="D165" s="30"/>
    </row>
    <row r="166" ht="12.75">
      <c r="D166" s="30"/>
    </row>
    <row r="167" ht="12.75">
      <c r="D167" s="30"/>
    </row>
    <row r="168" ht="12.75">
      <c r="D168" s="30"/>
    </row>
    <row r="169" ht="12.75">
      <c r="D169" s="30"/>
    </row>
    <row r="170" ht="12.75">
      <c r="D170" s="30"/>
    </row>
    <row r="171" ht="12.75">
      <c r="D171" s="30"/>
    </row>
    <row r="172" ht="12.75">
      <c r="D172" s="30"/>
    </row>
    <row r="173" ht="12.75">
      <c r="D173" s="30"/>
    </row>
    <row r="174" ht="12.75">
      <c r="D174" s="30"/>
    </row>
    <row r="175" ht="12.75">
      <c r="D175" s="30"/>
    </row>
    <row r="176" ht="12.75">
      <c r="D176" s="30"/>
    </row>
    <row r="177" ht="12.75">
      <c r="D177" s="30"/>
    </row>
    <row r="178" ht="12.75">
      <c r="D178" s="30"/>
    </row>
    <row r="179" ht="12.75">
      <c r="D179" s="30"/>
    </row>
    <row r="180" ht="12.75">
      <c r="D180" s="30"/>
    </row>
    <row r="181" ht="12.75">
      <c r="D181" s="30"/>
    </row>
    <row r="182" ht="12.75">
      <c r="D182" s="30"/>
    </row>
    <row r="183" ht="12.75">
      <c r="D183" s="30"/>
    </row>
    <row r="184" ht="12.75">
      <c r="D184" s="30"/>
    </row>
    <row r="185" ht="12.75">
      <c r="D185" s="30"/>
    </row>
    <row r="186" ht="12.75">
      <c r="D186" s="30"/>
    </row>
    <row r="187" ht="12.75">
      <c r="D187" s="30"/>
    </row>
    <row r="188" ht="12.75">
      <c r="D188" s="30"/>
    </row>
    <row r="189" ht="12.75">
      <c r="D189" s="30"/>
    </row>
    <row r="190" ht="12.75">
      <c r="D190" s="30"/>
    </row>
    <row r="191" ht="12.75">
      <c r="D191" s="30"/>
    </row>
    <row r="192" ht="12.75">
      <c r="D192" s="30"/>
    </row>
    <row r="193" ht="12.75">
      <c r="D193" s="30"/>
    </row>
    <row r="194" ht="12.75">
      <c r="D194" s="30"/>
    </row>
    <row r="195" ht="12.75">
      <c r="D195" s="30"/>
    </row>
    <row r="196" ht="12.75">
      <c r="D196" s="30"/>
    </row>
    <row r="197" ht="12.75">
      <c r="D197" s="30"/>
    </row>
    <row r="198" ht="12.75">
      <c r="D198" s="30"/>
    </row>
    <row r="199" ht="12.75">
      <c r="D199" s="30"/>
    </row>
    <row r="200" ht="12.75">
      <c r="D200" s="30"/>
    </row>
    <row r="201" ht="12.75">
      <c r="D201" s="30"/>
    </row>
    <row r="202" ht="12.75">
      <c r="D202" s="30"/>
    </row>
    <row r="203" ht="12.75">
      <c r="D203" s="30"/>
    </row>
    <row r="204" ht="12.75">
      <c r="D204" s="30"/>
    </row>
    <row r="205" ht="12.75">
      <c r="D205" s="30"/>
    </row>
    <row r="206" ht="12.75">
      <c r="D206" s="30"/>
    </row>
    <row r="207" ht="12.75">
      <c r="D207" s="30"/>
    </row>
    <row r="208" ht="12.75">
      <c r="D208" s="30"/>
    </row>
    <row r="209" ht="12.75">
      <c r="D209" s="30"/>
    </row>
    <row r="210" ht="12.75">
      <c r="D210" s="30"/>
    </row>
    <row r="211" ht="12.75">
      <c r="D211" s="30"/>
    </row>
    <row r="212" ht="12.75">
      <c r="D212" s="30"/>
    </row>
    <row r="213" ht="12.75">
      <c r="D213" s="30"/>
    </row>
    <row r="214" ht="12.75">
      <c r="D214" s="30"/>
    </row>
    <row r="215" ht="12.75">
      <c r="D215" s="30"/>
    </row>
    <row r="216" ht="12.75">
      <c r="D216" s="30"/>
    </row>
    <row r="217" ht="12.75">
      <c r="D217" s="30"/>
    </row>
    <row r="218" ht="12.75">
      <c r="D218" s="30"/>
    </row>
    <row r="219" ht="12.75">
      <c r="D219" s="30"/>
    </row>
    <row r="220" ht="12.75">
      <c r="D220" s="30"/>
    </row>
    <row r="221" ht="12.75">
      <c r="D221" s="30"/>
    </row>
    <row r="222" ht="12.75">
      <c r="D222" s="30"/>
    </row>
    <row r="223" ht="12.75">
      <c r="D223" s="30"/>
    </row>
    <row r="224" ht="12.75">
      <c r="D224" s="30"/>
    </row>
    <row r="225" ht="12.75">
      <c r="D225" s="30"/>
    </row>
    <row r="226" ht="12.75">
      <c r="D226" s="30"/>
    </row>
    <row r="227" ht="12.75">
      <c r="D227" s="30"/>
    </row>
    <row r="228" ht="12.75">
      <c r="D228" s="30"/>
    </row>
    <row r="229" ht="12.75">
      <c r="D229" s="30"/>
    </row>
    <row r="230" ht="12.75">
      <c r="D230" s="30"/>
    </row>
    <row r="231" ht="12.75">
      <c r="D231" s="30"/>
    </row>
    <row r="232" ht="12.75">
      <c r="D232" s="30"/>
    </row>
    <row r="233" ht="12.75">
      <c r="D233" s="30"/>
    </row>
    <row r="234" ht="12.75">
      <c r="D234" s="30"/>
    </row>
    <row r="235" ht="12.75">
      <c r="D235" s="30"/>
    </row>
    <row r="236" ht="12.75">
      <c r="D236" s="30"/>
    </row>
    <row r="237" ht="12.75">
      <c r="D237" s="30"/>
    </row>
    <row r="238" ht="12.75">
      <c r="D238" s="30"/>
    </row>
    <row r="239" ht="12.75">
      <c r="D239" s="30"/>
    </row>
    <row r="240" ht="12.75">
      <c r="D240" s="30"/>
    </row>
    <row r="241" ht="12.75">
      <c r="D241" s="30"/>
    </row>
    <row r="242" ht="12.75">
      <c r="D242" s="30"/>
    </row>
    <row r="243" ht="12.75">
      <c r="D243" s="30"/>
    </row>
    <row r="244" ht="12.75">
      <c r="D244" s="30"/>
    </row>
    <row r="245" ht="12.75">
      <c r="D245" s="30"/>
    </row>
    <row r="246" ht="12.75">
      <c r="D246" s="30"/>
    </row>
    <row r="247" ht="12.75">
      <c r="D247" s="30"/>
    </row>
    <row r="248" ht="12.75">
      <c r="D248" s="30"/>
    </row>
    <row r="249" ht="12.75">
      <c r="D249" s="30"/>
    </row>
    <row r="250" ht="12.75">
      <c r="D250" s="30"/>
    </row>
    <row r="251" ht="12.75">
      <c r="D251" s="30"/>
    </row>
    <row r="252" ht="12.75">
      <c r="D252" s="30"/>
    </row>
    <row r="253" ht="12.75">
      <c r="D253" s="30"/>
    </row>
    <row r="254" ht="12.75">
      <c r="D254" s="30"/>
    </row>
    <row r="255" ht="12.75">
      <c r="D255" s="30"/>
    </row>
    <row r="256" ht="12.75">
      <c r="D256" s="30"/>
    </row>
    <row r="257" ht="12.75">
      <c r="D257" s="30"/>
    </row>
    <row r="258" ht="12.75">
      <c r="D258" s="30"/>
    </row>
    <row r="259" ht="12.75">
      <c r="D259" s="30"/>
    </row>
    <row r="260" ht="12.75">
      <c r="D260" s="30"/>
    </row>
    <row r="261" ht="12.75">
      <c r="D261" s="30"/>
    </row>
    <row r="262" ht="12.75">
      <c r="D262" s="30"/>
    </row>
    <row r="263" ht="12.75">
      <c r="D263" s="30"/>
    </row>
    <row r="264" ht="12.75">
      <c r="D264" s="30"/>
    </row>
    <row r="265" ht="12.75">
      <c r="D265" s="30"/>
    </row>
    <row r="266" ht="12.75">
      <c r="D266" s="30"/>
    </row>
    <row r="267" ht="12.75">
      <c r="D267" s="30"/>
    </row>
    <row r="268" ht="12.75">
      <c r="D268" s="30"/>
    </row>
    <row r="269" ht="12.75">
      <c r="D269" s="30"/>
    </row>
    <row r="270" ht="12.75">
      <c r="D270" s="30"/>
    </row>
    <row r="271" ht="12.75">
      <c r="D271" s="30"/>
    </row>
    <row r="272" ht="12.75">
      <c r="D272" s="30"/>
    </row>
    <row r="273" ht="12.75">
      <c r="D273" s="30"/>
    </row>
    <row r="274" ht="12.75">
      <c r="D274" s="30"/>
    </row>
    <row r="275" ht="12.75">
      <c r="D275" s="30"/>
    </row>
    <row r="276" ht="12.75">
      <c r="D276" s="30"/>
    </row>
    <row r="277" ht="12.75">
      <c r="D277" s="30"/>
    </row>
    <row r="278" ht="12.75">
      <c r="D278" s="30"/>
    </row>
    <row r="279" ht="12.75">
      <c r="D279" s="30"/>
    </row>
    <row r="280" ht="12.75">
      <c r="D280" s="30"/>
    </row>
    <row r="281" ht="12.75">
      <c r="D281" s="30"/>
    </row>
    <row r="282" ht="12.75">
      <c r="D282" s="30"/>
    </row>
    <row r="283" ht="12.75">
      <c r="D283" s="30"/>
    </row>
    <row r="284" ht="12.75">
      <c r="D284" s="30"/>
    </row>
    <row r="285" ht="12.75">
      <c r="D285" s="30"/>
    </row>
    <row r="286" ht="12.75">
      <c r="D286" s="30"/>
    </row>
    <row r="287" ht="12.75">
      <c r="D287" s="30"/>
    </row>
    <row r="288" ht="12.75">
      <c r="D288" s="30"/>
    </row>
    <row r="289" ht="12.75">
      <c r="D289" s="30"/>
    </row>
    <row r="290" ht="12.75">
      <c r="D290" s="30"/>
    </row>
    <row r="291" ht="12.75">
      <c r="D291" s="30"/>
    </row>
    <row r="292" ht="12.75">
      <c r="D292" s="30"/>
    </row>
    <row r="293" ht="12.75">
      <c r="D293" s="30"/>
    </row>
    <row r="294" ht="12.75">
      <c r="D294" s="30"/>
    </row>
    <row r="295" ht="12.75">
      <c r="D295" s="30"/>
    </row>
    <row r="296" ht="12.75">
      <c r="D296" s="30"/>
    </row>
    <row r="297" ht="12.75">
      <c r="D297" s="30"/>
    </row>
    <row r="298" ht="12.75">
      <c r="D298" s="30"/>
    </row>
    <row r="299" ht="12.75">
      <c r="D299" s="30"/>
    </row>
    <row r="300" ht="12.75">
      <c r="D300" s="30"/>
    </row>
    <row r="301" ht="12.75">
      <c r="D301" s="30"/>
    </row>
    <row r="302" ht="12.75">
      <c r="D302" s="30"/>
    </row>
    <row r="303" ht="12.75">
      <c r="D303" s="30"/>
    </row>
    <row r="304" ht="12.75">
      <c r="D304" s="30"/>
    </row>
    <row r="305" ht="12.75">
      <c r="D305" s="30"/>
    </row>
    <row r="306" ht="12.75">
      <c r="D306" s="30"/>
    </row>
    <row r="307" ht="12.75">
      <c r="D307" s="30"/>
    </row>
    <row r="308" ht="12.75">
      <c r="D308" s="30"/>
    </row>
    <row r="309" ht="12.75">
      <c r="D309" s="30"/>
    </row>
    <row r="310" ht="12.75">
      <c r="D310" s="30"/>
    </row>
    <row r="311" ht="12.75">
      <c r="D311" s="30"/>
    </row>
    <row r="312" ht="12.75">
      <c r="D312" s="30"/>
    </row>
    <row r="313" ht="12.75">
      <c r="D313" s="30"/>
    </row>
    <row r="314" ht="12.75">
      <c r="D314" s="30"/>
    </row>
    <row r="315" ht="12.75">
      <c r="D315" s="30"/>
    </row>
    <row r="316" ht="12.75">
      <c r="D316" s="30"/>
    </row>
    <row r="317" ht="12.75">
      <c r="D317" s="30"/>
    </row>
    <row r="318" ht="12.75">
      <c r="D318" s="30"/>
    </row>
    <row r="319" ht="12.75">
      <c r="D319" s="30"/>
    </row>
    <row r="320" ht="12.75">
      <c r="D320" s="30"/>
    </row>
    <row r="321" ht="12.75">
      <c r="D321" s="30"/>
    </row>
    <row r="322" ht="12.75">
      <c r="D322" s="30"/>
    </row>
    <row r="323" ht="12.75">
      <c r="D323" s="30"/>
    </row>
    <row r="324" ht="12.75">
      <c r="D324" s="30"/>
    </row>
    <row r="325" ht="12.75">
      <c r="D325" s="30"/>
    </row>
    <row r="326" ht="12.75">
      <c r="D326" s="30"/>
    </row>
    <row r="327" ht="12.75">
      <c r="D327" s="30"/>
    </row>
    <row r="328" ht="12.75">
      <c r="D328" s="30"/>
    </row>
    <row r="329" ht="12.75">
      <c r="D329" s="30"/>
    </row>
    <row r="330" ht="12.75">
      <c r="D330" s="30"/>
    </row>
    <row r="331" ht="12.75">
      <c r="D331" s="30"/>
    </row>
    <row r="332" ht="12.75">
      <c r="D332" s="30"/>
    </row>
    <row r="333" ht="12.75">
      <c r="D333" s="30"/>
    </row>
    <row r="334" ht="12.75">
      <c r="D334" s="30"/>
    </row>
    <row r="335" ht="12.75">
      <c r="D335" s="30"/>
    </row>
    <row r="336" ht="12.75">
      <c r="D336" s="30"/>
    </row>
    <row r="337" ht="12.75">
      <c r="D337" s="30"/>
    </row>
    <row r="338" ht="12.75">
      <c r="D338" s="30"/>
    </row>
    <row r="339" ht="12.75">
      <c r="D339" s="30"/>
    </row>
    <row r="340" ht="12.75">
      <c r="D340" s="30"/>
    </row>
    <row r="341" ht="12.75">
      <c r="D341" s="30"/>
    </row>
    <row r="342" ht="12.75">
      <c r="D342" s="30"/>
    </row>
    <row r="343" ht="12.75">
      <c r="D343" s="30"/>
    </row>
    <row r="344" ht="12.75">
      <c r="D344" s="30"/>
    </row>
    <row r="345" ht="12.75">
      <c r="D345" s="30"/>
    </row>
    <row r="346" ht="12.75">
      <c r="D346" s="30"/>
    </row>
    <row r="347" ht="12.75">
      <c r="D347" s="30"/>
    </row>
    <row r="348" ht="12.75">
      <c r="D348" s="30"/>
    </row>
    <row r="349" ht="12.75">
      <c r="D349" s="30"/>
    </row>
    <row r="350" ht="12.75">
      <c r="D350" s="30"/>
    </row>
    <row r="351" ht="12.75">
      <c r="D351" s="30"/>
    </row>
    <row r="352" ht="12.75">
      <c r="D352" s="30"/>
    </row>
    <row r="353" ht="12.75">
      <c r="D353" s="30"/>
    </row>
    <row r="354" ht="12.75">
      <c r="D354" s="30"/>
    </row>
    <row r="355" ht="12.75">
      <c r="D355" s="30"/>
    </row>
    <row r="356" ht="12.75">
      <c r="D356" s="30"/>
    </row>
    <row r="357" ht="12.75">
      <c r="D357" s="30"/>
    </row>
    <row r="358" ht="12.75">
      <c r="D358" s="30"/>
    </row>
    <row r="359" ht="12.75">
      <c r="D359" s="30"/>
    </row>
    <row r="360" ht="12.75">
      <c r="D360" s="30"/>
    </row>
    <row r="361" ht="12.75">
      <c r="D361" s="30"/>
    </row>
    <row r="362" ht="12.75">
      <c r="D362" s="30"/>
    </row>
    <row r="363" ht="12.75">
      <c r="D363" s="30"/>
    </row>
    <row r="364" ht="12.75">
      <c r="D364" s="30"/>
    </row>
    <row r="365" ht="12.75">
      <c r="D365" s="30"/>
    </row>
    <row r="366" ht="12.75">
      <c r="D366" s="30"/>
    </row>
    <row r="367" ht="12.75">
      <c r="D367" s="30"/>
    </row>
    <row r="368" ht="12.75">
      <c r="D368" s="30"/>
    </row>
    <row r="369" ht="12.75">
      <c r="D369" s="30"/>
    </row>
    <row r="370" ht="12.75">
      <c r="D370" s="30"/>
    </row>
    <row r="371" ht="12.75">
      <c r="D371" s="30"/>
    </row>
    <row r="372" ht="12.75">
      <c r="D372" s="30"/>
    </row>
    <row r="373" ht="12.75">
      <c r="D373" s="30"/>
    </row>
    <row r="374" ht="12.75">
      <c r="D374" s="30"/>
    </row>
    <row r="375" ht="12.75">
      <c r="D375" s="30"/>
    </row>
    <row r="376" ht="12.75">
      <c r="D376" s="30"/>
    </row>
    <row r="377" ht="12.75">
      <c r="D377" s="30"/>
    </row>
    <row r="378" ht="12.75">
      <c r="D378" s="30"/>
    </row>
    <row r="379" ht="12.75">
      <c r="D379" s="30"/>
    </row>
    <row r="380" ht="12.75">
      <c r="D380" s="30"/>
    </row>
    <row r="381" ht="12.75">
      <c r="D381" s="30"/>
    </row>
    <row r="382" ht="12.75">
      <c r="D382" s="30"/>
    </row>
    <row r="383" ht="12.75">
      <c r="D383" s="30"/>
    </row>
    <row r="384" ht="12.75">
      <c r="D384" s="30"/>
    </row>
    <row r="385" ht="12.75">
      <c r="D385" s="30"/>
    </row>
    <row r="386" ht="12.75">
      <c r="D386" s="30"/>
    </row>
    <row r="387" ht="12.75">
      <c r="D387" s="30"/>
    </row>
    <row r="388" ht="12.75">
      <c r="D388" s="30"/>
    </row>
    <row r="389" ht="12.75">
      <c r="D389" s="30"/>
    </row>
    <row r="390" ht="12.75">
      <c r="D390" s="30"/>
    </row>
    <row r="391" ht="12.75">
      <c r="D391" s="30"/>
    </row>
    <row r="392" ht="12.75">
      <c r="D392" s="30"/>
    </row>
    <row r="393" ht="12.75">
      <c r="D393" s="30"/>
    </row>
    <row r="394" ht="12.75">
      <c r="D394" s="30"/>
    </row>
    <row r="395" ht="12.75">
      <c r="D395" s="30"/>
    </row>
    <row r="396" ht="12.75">
      <c r="D396" s="30"/>
    </row>
    <row r="397" ht="12.75">
      <c r="D397" s="30"/>
    </row>
    <row r="398" ht="12.75">
      <c r="D398" s="30"/>
    </row>
    <row r="399" ht="12.75">
      <c r="D399" s="30"/>
    </row>
    <row r="400" ht="12.75">
      <c r="D400" s="30"/>
    </row>
    <row r="401" ht="12.75">
      <c r="D401" s="30"/>
    </row>
    <row r="402" ht="12.75">
      <c r="D402" s="30"/>
    </row>
    <row r="403" ht="12.75">
      <c r="D403" s="30"/>
    </row>
    <row r="404" ht="12.75">
      <c r="D404" s="30"/>
    </row>
    <row r="405" ht="12.75">
      <c r="D405" s="30"/>
    </row>
    <row r="406" ht="12.75">
      <c r="D406" s="30"/>
    </row>
    <row r="407" ht="12.75">
      <c r="D407" s="30"/>
    </row>
    <row r="408" ht="12.75">
      <c r="D408" s="30"/>
    </row>
    <row r="409" ht="12.75">
      <c r="D409" s="30"/>
    </row>
    <row r="410" ht="12.75">
      <c r="D410" s="30"/>
    </row>
    <row r="411" ht="12.75">
      <c r="D411" s="30"/>
    </row>
    <row r="412" ht="12.75">
      <c r="D412" s="30"/>
    </row>
    <row r="413" ht="12.75">
      <c r="D413" s="30"/>
    </row>
    <row r="414" ht="12.75">
      <c r="D414" s="30"/>
    </row>
    <row r="415" ht="12.75">
      <c r="D415" s="30"/>
    </row>
    <row r="416" ht="12.75">
      <c r="D416" s="30"/>
    </row>
    <row r="417" ht="12.75">
      <c r="D417" s="30"/>
    </row>
    <row r="418" ht="12.75">
      <c r="D418" s="30"/>
    </row>
    <row r="419" ht="12.75">
      <c r="D419" s="30"/>
    </row>
    <row r="420" ht="12.75">
      <c r="D420" s="30"/>
    </row>
    <row r="421" ht="12.75">
      <c r="D421" s="30"/>
    </row>
    <row r="422" ht="12.75">
      <c r="D422" s="30"/>
    </row>
    <row r="423" ht="12.75">
      <c r="D423" s="30"/>
    </row>
    <row r="424" ht="12.75">
      <c r="D424" s="30"/>
    </row>
    <row r="425" ht="12.75">
      <c r="D425" s="30"/>
    </row>
    <row r="426" ht="12.75">
      <c r="D426" s="30"/>
    </row>
    <row r="427" ht="12.75">
      <c r="D427" s="30"/>
    </row>
    <row r="428" ht="12.75">
      <c r="D428" s="30"/>
    </row>
    <row r="429" ht="12.75">
      <c r="D429" s="30"/>
    </row>
    <row r="430" ht="12.75">
      <c r="D430" s="30"/>
    </row>
    <row r="431" ht="12.75">
      <c r="D431" s="30"/>
    </row>
    <row r="432" ht="12.75">
      <c r="D432" s="30"/>
    </row>
    <row r="433" ht="12.75">
      <c r="D433" s="30"/>
    </row>
    <row r="434" ht="12.75">
      <c r="D434" s="30"/>
    </row>
    <row r="435" ht="12.75">
      <c r="D435" s="30"/>
    </row>
    <row r="436" ht="12.75">
      <c r="D436" s="30"/>
    </row>
    <row r="437" ht="12.75">
      <c r="D437" s="30"/>
    </row>
    <row r="438" ht="12.75">
      <c r="D438" s="30"/>
    </row>
    <row r="439" ht="12.75">
      <c r="D439" s="30"/>
    </row>
    <row r="440" ht="12.75">
      <c r="D440" s="30"/>
    </row>
    <row r="441" ht="12.75">
      <c r="D441" s="30"/>
    </row>
    <row r="442" ht="12.75">
      <c r="D442" s="30"/>
    </row>
    <row r="443" ht="12.75">
      <c r="D443" s="30"/>
    </row>
    <row r="444" ht="12.75">
      <c r="D444" s="30"/>
    </row>
    <row r="445" ht="12.75">
      <c r="D445" s="30"/>
    </row>
    <row r="446" ht="12.75">
      <c r="D446" s="30"/>
    </row>
    <row r="447" ht="12.75">
      <c r="D447" s="30"/>
    </row>
    <row r="448" ht="12.75">
      <c r="D448" s="30"/>
    </row>
    <row r="449" ht="12.75">
      <c r="D449" s="30"/>
    </row>
    <row r="450" ht="12.75">
      <c r="D450" s="30"/>
    </row>
    <row r="451" ht="12.75">
      <c r="D451" s="30"/>
    </row>
    <row r="452" ht="12.75">
      <c r="D452" s="30"/>
    </row>
    <row r="453" ht="12.75">
      <c r="D453" s="30"/>
    </row>
    <row r="454" ht="12.75">
      <c r="D454" s="30"/>
    </row>
    <row r="455" ht="12.75">
      <c r="D455" s="30"/>
    </row>
    <row r="456" ht="12.75">
      <c r="D456" s="30"/>
    </row>
    <row r="457" ht="12.75">
      <c r="D457" s="30"/>
    </row>
    <row r="458" ht="12.75">
      <c r="D458" s="30"/>
    </row>
    <row r="459" ht="12.75">
      <c r="D459" s="30"/>
    </row>
    <row r="460" ht="12.75">
      <c r="D460" s="30"/>
    </row>
    <row r="461" ht="12.75">
      <c r="D461" s="30"/>
    </row>
    <row r="462" ht="12.75">
      <c r="D462" s="30"/>
    </row>
    <row r="463" ht="12.75">
      <c r="D463" s="30"/>
    </row>
    <row r="464" ht="12.75">
      <c r="D464" s="30"/>
    </row>
    <row r="465" ht="12.75">
      <c r="D465" s="30"/>
    </row>
    <row r="466" ht="12.75">
      <c r="D466" s="30"/>
    </row>
    <row r="467" ht="12.75">
      <c r="D467" s="30"/>
    </row>
    <row r="468" ht="12.75">
      <c r="D468" s="30"/>
    </row>
    <row r="469" ht="12.75">
      <c r="D469" s="30"/>
    </row>
    <row r="470" ht="12.75">
      <c r="D470" s="30"/>
    </row>
    <row r="471" ht="12.75">
      <c r="D471" s="30"/>
    </row>
    <row r="472" ht="12.75">
      <c r="D472" s="30"/>
    </row>
    <row r="473" ht="12.75">
      <c r="D473" s="30"/>
    </row>
    <row r="474" ht="12.75">
      <c r="D474" s="30"/>
    </row>
    <row r="475" ht="12.75">
      <c r="D475" s="30"/>
    </row>
    <row r="476" ht="12.75">
      <c r="D476" s="30"/>
    </row>
    <row r="477" ht="12.75">
      <c r="D477" s="30"/>
    </row>
    <row r="478" ht="12.75">
      <c r="D478" s="30"/>
    </row>
    <row r="479" ht="12.75">
      <c r="D479" s="30"/>
    </row>
    <row r="480" ht="12.75">
      <c r="D480" s="30"/>
    </row>
    <row r="481" ht="12.75">
      <c r="D481" s="30"/>
    </row>
    <row r="482" ht="12.75">
      <c r="D482" s="30"/>
    </row>
    <row r="483" ht="12.75">
      <c r="D483" s="30"/>
    </row>
    <row r="484" ht="12.75">
      <c r="D484" s="30"/>
    </row>
    <row r="485" ht="12.75">
      <c r="D485" s="30"/>
    </row>
    <row r="486" ht="12.75">
      <c r="D486" s="30"/>
    </row>
    <row r="487" ht="12.75">
      <c r="D487" s="30"/>
    </row>
    <row r="488" ht="12.75">
      <c r="D488" s="30"/>
    </row>
    <row r="489" ht="12.75">
      <c r="D489" s="30"/>
    </row>
    <row r="490" ht="12.75">
      <c r="D490" s="30"/>
    </row>
    <row r="491" ht="12.75">
      <c r="D491" s="30"/>
    </row>
    <row r="492" ht="12.75">
      <c r="D492" s="30"/>
    </row>
    <row r="493" ht="12.75">
      <c r="D493" s="30"/>
    </row>
    <row r="494" ht="12.75">
      <c r="D494" s="30"/>
    </row>
    <row r="495" ht="12.75">
      <c r="D495" s="30"/>
    </row>
    <row r="496" ht="12.75">
      <c r="D496" s="30"/>
    </row>
    <row r="497" ht="12.75">
      <c r="D497" s="30"/>
    </row>
    <row r="498" ht="12.75">
      <c r="D498" s="30"/>
    </row>
    <row r="499" ht="12.75">
      <c r="D499" s="30"/>
    </row>
    <row r="500" ht="12.75">
      <c r="D500" s="30"/>
    </row>
    <row r="501" ht="12.75">
      <c r="D501" s="30"/>
    </row>
    <row r="502" ht="12.75">
      <c r="D502" s="30"/>
    </row>
    <row r="503" ht="12.75">
      <c r="D503" s="30"/>
    </row>
    <row r="504" ht="12.75">
      <c r="D504" s="30"/>
    </row>
    <row r="505" ht="12.75">
      <c r="D505" s="30"/>
    </row>
    <row r="506" ht="12.75">
      <c r="D506" s="30"/>
    </row>
    <row r="507" ht="12.75">
      <c r="D507" s="30"/>
    </row>
    <row r="508" ht="12.75">
      <c r="D508" s="30"/>
    </row>
    <row r="509" ht="12.75">
      <c r="D509" s="30"/>
    </row>
    <row r="510" ht="12.75">
      <c r="D510" s="30"/>
    </row>
    <row r="511" ht="12.75">
      <c r="D511" s="30"/>
    </row>
    <row r="512" ht="12.75">
      <c r="D512" s="30"/>
    </row>
    <row r="513" ht="12.75">
      <c r="D513" s="30"/>
    </row>
    <row r="514" ht="12.75">
      <c r="D514" s="30"/>
    </row>
    <row r="515" ht="12.75">
      <c r="D515" s="30"/>
    </row>
    <row r="516" ht="12.75">
      <c r="D516" s="30"/>
    </row>
    <row r="517" ht="12.75">
      <c r="D517" s="30"/>
    </row>
    <row r="518" ht="12.75">
      <c r="D518" s="30"/>
    </row>
    <row r="519" ht="12.75">
      <c r="D519" s="30"/>
    </row>
    <row r="520" ht="12.75">
      <c r="D520" s="30"/>
    </row>
    <row r="521" ht="12.75">
      <c r="D521" s="30"/>
    </row>
    <row r="522" ht="12.75">
      <c r="D522" s="30"/>
    </row>
    <row r="523" ht="12.75">
      <c r="D523" s="30"/>
    </row>
    <row r="524" ht="12.75">
      <c r="D524" s="30"/>
    </row>
    <row r="525" ht="12.75">
      <c r="D525" s="30"/>
    </row>
    <row r="526" ht="12.75">
      <c r="D526" s="30"/>
    </row>
    <row r="527" ht="12.75">
      <c r="D527" s="30"/>
    </row>
    <row r="528" ht="12.75">
      <c r="D528" s="30"/>
    </row>
    <row r="529" ht="12.75">
      <c r="D529" s="30"/>
    </row>
    <row r="530" ht="12.75">
      <c r="D530" s="30"/>
    </row>
    <row r="531" ht="12.75">
      <c r="D531" s="30"/>
    </row>
    <row r="532" ht="12.75">
      <c r="D532" s="30"/>
    </row>
    <row r="533" ht="12.75">
      <c r="D533" s="30"/>
    </row>
    <row r="534" ht="12.75">
      <c r="D534" s="30"/>
    </row>
    <row r="535" ht="12.75">
      <c r="D535" s="30"/>
    </row>
    <row r="536" ht="12.75">
      <c r="D536" s="30"/>
    </row>
    <row r="537" ht="12.75">
      <c r="D537" s="30"/>
    </row>
    <row r="538" ht="12.75">
      <c r="D538" s="30"/>
    </row>
    <row r="539" ht="12.75">
      <c r="D539" s="30"/>
    </row>
    <row r="540" ht="12.75">
      <c r="D540" s="30"/>
    </row>
    <row r="541" ht="12.75">
      <c r="D541" s="30"/>
    </row>
    <row r="542" ht="12.75">
      <c r="D542" s="30"/>
    </row>
    <row r="543" ht="12.75">
      <c r="D543" s="30"/>
    </row>
    <row r="544" ht="12.75">
      <c r="D544" s="30"/>
    </row>
    <row r="545" ht="12.75">
      <c r="D545" s="30"/>
    </row>
    <row r="546" ht="12.75">
      <c r="D546" s="30"/>
    </row>
    <row r="547" ht="12.75">
      <c r="D547" s="30"/>
    </row>
    <row r="548" ht="12.75">
      <c r="D548" s="30"/>
    </row>
    <row r="549" ht="12.75">
      <c r="D549" s="30"/>
    </row>
    <row r="550" ht="12.75">
      <c r="D550" s="30"/>
    </row>
    <row r="551" ht="12.75">
      <c r="D551" s="30"/>
    </row>
    <row r="552" ht="12.75">
      <c r="D552" s="30"/>
    </row>
    <row r="553" ht="12.75">
      <c r="D553" s="30"/>
    </row>
    <row r="554" ht="12.75">
      <c r="D554" s="30"/>
    </row>
    <row r="555" ht="12.75">
      <c r="D555" s="30"/>
    </row>
    <row r="556" ht="12.75">
      <c r="D556" s="30"/>
    </row>
    <row r="557" ht="12.75">
      <c r="D557" s="30"/>
    </row>
    <row r="558" ht="12.75">
      <c r="D558" s="30"/>
    </row>
    <row r="559" ht="12.75">
      <c r="D559" s="30"/>
    </row>
    <row r="560" ht="12.75">
      <c r="D560" s="30"/>
    </row>
    <row r="561" ht="12.75">
      <c r="D561" s="30"/>
    </row>
    <row r="562" ht="12.75">
      <c r="D562" s="30"/>
    </row>
    <row r="563" ht="12.75">
      <c r="D563" s="30"/>
    </row>
    <row r="564" ht="12.75">
      <c r="D564" s="30"/>
    </row>
    <row r="565" ht="12.75">
      <c r="D565" s="30"/>
    </row>
    <row r="566" ht="12.75">
      <c r="D566" s="30"/>
    </row>
    <row r="567" ht="12.75">
      <c r="D567" s="30"/>
    </row>
    <row r="568" ht="12.75">
      <c r="D568" s="30"/>
    </row>
    <row r="569" ht="12.75">
      <c r="D569" s="30"/>
    </row>
    <row r="570" ht="12.75">
      <c r="D570" s="30"/>
    </row>
    <row r="571" ht="12.75">
      <c r="D571" s="30"/>
    </row>
    <row r="572" ht="12.75">
      <c r="D572" s="30"/>
    </row>
    <row r="573" ht="12.75">
      <c r="D573" s="30"/>
    </row>
    <row r="574" ht="12.75">
      <c r="D574" s="30"/>
    </row>
    <row r="575" ht="12.75">
      <c r="D575" s="30"/>
    </row>
    <row r="576" ht="12.75">
      <c r="D576" s="30"/>
    </row>
    <row r="577" ht="12.75">
      <c r="D577" s="30"/>
    </row>
    <row r="578" ht="12.75">
      <c r="D578" s="30"/>
    </row>
    <row r="579" ht="12.75">
      <c r="D579" s="30"/>
    </row>
    <row r="580" ht="12.75">
      <c r="D580" s="30"/>
    </row>
    <row r="581" ht="12.75">
      <c r="D581" s="30"/>
    </row>
    <row r="582" ht="12.75">
      <c r="D582" s="30"/>
    </row>
    <row r="583" ht="12.75">
      <c r="D583" s="30"/>
    </row>
    <row r="584" ht="12.75">
      <c r="D584" s="30"/>
    </row>
    <row r="585" ht="12.75">
      <c r="D585" s="30"/>
    </row>
    <row r="586" ht="12.75">
      <c r="D586" s="30"/>
    </row>
    <row r="587" ht="12.75">
      <c r="D587" s="30"/>
    </row>
    <row r="588" ht="12.75">
      <c r="D588" s="30"/>
    </row>
    <row r="589" ht="12.75">
      <c r="D589" s="30"/>
    </row>
    <row r="590" ht="12.75">
      <c r="D590" s="30"/>
    </row>
    <row r="591" ht="12.75">
      <c r="D591" s="30"/>
    </row>
    <row r="592" ht="12.75">
      <c r="D592" s="30"/>
    </row>
    <row r="593" ht="12.75">
      <c r="D593" s="30"/>
    </row>
    <row r="594" ht="12.75">
      <c r="D594" s="30"/>
    </row>
    <row r="595" ht="12.75">
      <c r="D595" s="30"/>
    </row>
    <row r="596" ht="12.75">
      <c r="D596" s="30"/>
    </row>
    <row r="597" ht="12.75">
      <c r="D597" s="30"/>
    </row>
    <row r="598" ht="12.75">
      <c r="D598" s="30"/>
    </row>
    <row r="599" ht="12.75">
      <c r="D599" s="30"/>
    </row>
    <row r="600" ht="12.75">
      <c r="D600" s="30"/>
    </row>
    <row r="601" ht="12.75">
      <c r="D601" s="30"/>
    </row>
    <row r="602" ht="12.75">
      <c r="D602" s="30"/>
    </row>
    <row r="603" ht="12.75">
      <c r="D603" s="30"/>
    </row>
    <row r="604" ht="12.75">
      <c r="D604" s="30"/>
    </row>
    <row r="605" ht="12.75">
      <c r="D605" s="30"/>
    </row>
    <row r="606" ht="12.75">
      <c r="D606" s="30"/>
    </row>
    <row r="607" ht="12.75">
      <c r="D607" s="30"/>
    </row>
    <row r="608" ht="12.75">
      <c r="D608" s="30"/>
    </row>
    <row r="609" ht="12.75">
      <c r="D609" s="30"/>
    </row>
    <row r="610" ht="12.75">
      <c r="D610" s="30"/>
    </row>
    <row r="611" ht="12.75">
      <c r="D611" s="30"/>
    </row>
    <row r="612" ht="12.75">
      <c r="D612" s="30"/>
    </row>
    <row r="613" ht="12.75">
      <c r="D613" s="30"/>
    </row>
    <row r="614" ht="12.75">
      <c r="D614" s="30"/>
    </row>
    <row r="615" ht="12.75">
      <c r="D615" s="30"/>
    </row>
    <row r="616" ht="12.75">
      <c r="D616" s="30"/>
    </row>
    <row r="617" ht="12.75">
      <c r="D617" s="30"/>
    </row>
    <row r="618" ht="12.75">
      <c r="D618" s="30"/>
    </row>
    <row r="619" ht="12.75">
      <c r="D619" s="30"/>
    </row>
    <row r="620" ht="12.75">
      <c r="D620" s="30"/>
    </row>
    <row r="621" ht="12.75">
      <c r="D621" s="30"/>
    </row>
    <row r="622" ht="12.75">
      <c r="D622" s="30"/>
    </row>
    <row r="623" ht="12.75">
      <c r="D623" s="30"/>
    </row>
    <row r="624" ht="12.75">
      <c r="D624" s="30"/>
    </row>
    <row r="625" ht="12.75">
      <c r="D625" s="30"/>
    </row>
    <row r="626" ht="12.75">
      <c r="D626" s="30"/>
    </row>
    <row r="627" ht="12.75">
      <c r="D627" s="30"/>
    </row>
    <row r="628" ht="12.75">
      <c r="D628" s="30"/>
    </row>
    <row r="629" ht="12.75">
      <c r="D629" s="30"/>
    </row>
    <row r="630" ht="12.75">
      <c r="D630" s="30"/>
    </row>
    <row r="631" ht="12.75">
      <c r="D631" s="30"/>
    </row>
    <row r="632" ht="12.75">
      <c r="D632" s="30"/>
    </row>
    <row r="633" ht="12.75">
      <c r="D633" s="30"/>
    </row>
    <row r="634" ht="12.75">
      <c r="D634" s="30"/>
    </row>
    <row r="635" ht="12.75">
      <c r="D635" s="30"/>
    </row>
    <row r="636" ht="12.75">
      <c r="D636" s="30"/>
    </row>
    <row r="637" ht="12.75">
      <c r="D637" s="30"/>
    </row>
    <row r="638" ht="12.75">
      <c r="D638" s="30"/>
    </row>
    <row r="639" ht="12.75">
      <c r="D639" s="30"/>
    </row>
    <row r="640" ht="12.75">
      <c r="D640" s="30"/>
    </row>
    <row r="641" ht="12.75">
      <c r="D641" s="30"/>
    </row>
    <row r="642" ht="12.75">
      <c r="D642" s="30"/>
    </row>
    <row r="643" ht="12.75">
      <c r="D643" s="30"/>
    </row>
    <row r="644" ht="12.75">
      <c r="D644" s="30"/>
    </row>
    <row r="645" ht="12.75">
      <c r="D645" s="30"/>
    </row>
    <row r="646" ht="12.75">
      <c r="D646" s="30"/>
    </row>
    <row r="647" ht="12.75">
      <c r="D647" s="30"/>
    </row>
    <row r="648" ht="12.75">
      <c r="D648" s="30"/>
    </row>
    <row r="649" ht="12.75">
      <c r="D649" s="30"/>
    </row>
    <row r="650" ht="12.75">
      <c r="D650" s="30"/>
    </row>
    <row r="651" ht="12.75">
      <c r="D651" s="30"/>
    </row>
    <row r="652" ht="12.75">
      <c r="D652" s="30"/>
    </row>
    <row r="653" ht="12.75">
      <c r="D653" s="30"/>
    </row>
    <row r="654" ht="12.75">
      <c r="D654" s="30"/>
    </row>
    <row r="655" ht="12.75">
      <c r="D655" s="30"/>
    </row>
    <row r="656" ht="12.75">
      <c r="D656" s="30"/>
    </row>
    <row r="657" ht="12.75">
      <c r="D657" s="30"/>
    </row>
    <row r="658" ht="12.75">
      <c r="D658" s="30"/>
    </row>
    <row r="659" ht="12.75">
      <c r="D659" s="30"/>
    </row>
    <row r="660" ht="12.75">
      <c r="D660" s="30"/>
    </row>
    <row r="661" ht="12.75">
      <c r="D661" s="30"/>
    </row>
    <row r="662" ht="12.75">
      <c r="D662" s="30"/>
    </row>
    <row r="663" ht="12.75">
      <c r="D663" s="30"/>
    </row>
    <row r="664" ht="12.75">
      <c r="D664" s="30"/>
    </row>
    <row r="665" ht="12.75">
      <c r="D665" s="30"/>
    </row>
    <row r="666" ht="12.75">
      <c r="D666" s="30"/>
    </row>
    <row r="667" ht="12.75">
      <c r="D667" s="30"/>
    </row>
    <row r="668" ht="12.75">
      <c r="D668" s="30"/>
    </row>
    <row r="669" ht="12.75">
      <c r="D669" s="30"/>
    </row>
    <row r="670" ht="12.75">
      <c r="D670" s="30"/>
    </row>
    <row r="671" ht="12.75">
      <c r="D671" s="30"/>
    </row>
    <row r="672" ht="12.75">
      <c r="D672" s="30"/>
    </row>
    <row r="673" ht="12.75">
      <c r="D673" s="30"/>
    </row>
    <row r="674" ht="12.75">
      <c r="D674" s="30"/>
    </row>
    <row r="675" ht="12.75">
      <c r="D675" s="30"/>
    </row>
    <row r="676" ht="12.75">
      <c r="D676" s="30"/>
    </row>
    <row r="677" ht="12.75">
      <c r="D677" s="30"/>
    </row>
    <row r="678" ht="12.75">
      <c r="D678" s="30"/>
    </row>
    <row r="679" ht="12.75">
      <c r="D679" s="30"/>
    </row>
    <row r="680" ht="12.75">
      <c r="D680" s="30"/>
    </row>
    <row r="681" ht="12.75">
      <c r="D681" s="30"/>
    </row>
    <row r="682" ht="12.75">
      <c r="D682" s="30"/>
    </row>
    <row r="683" ht="12.75">
      <c r="D683" s="30"/>
    </row>
    <row r="684" ht="12.75">
      <c r="D684" s="30"/>
    </row>
    <row r="685" ht="12.75">
      <c r="D685" s="30"/>
    </row>
    <row r="686" ht="12.75">
      <c r="D686" s="30"/>
    </row>
    <row r="687" ht="12.75">
      <c r="D687" s="30"/>
    </row>
    <row r="688" ht="12.75">
      <c r="D688" s="30"/>
    </row>
    <row r="689" ht="12.75">
      <c r="D689" s="30"/>
    </row>
    <row r="690" ht="12.75">
      <c r="D690" s="30"/>
    </row>
    <row r="691" ht="12.75">
      <c r="D691" s="30"/>
    </row>
    <row r="692" ht="12.75">
      <c r="D692" s="30"/>
    </row>
    <row r="693" ht="12.75">
      <c r="D693" s="30"/>
    </row>
    <row r="694" ht="12.75">
      <c r="D694" s="30"/>
    </row>
    <row r="695" ht="12.75">
      <c r="D695" s="30"/>
    </row>
    <row r="696" ht="12.75">
      <c r="D696" s="30"/>
    </row>
    <row r="697" ht="12.75">
      <c r="D697" s="30"/>
    </row>
    <row r="698" ht="12.75">
      <c r="D698" s="30"/>
    </row>
    <row r="699" ht="12.75">
      <c r="D699" s="30"/>
    </row>
    <row r="700" ht="12.75">
      <c r="D700" s="30"/>
    </row>
    <row r="701" ht="12.75">
      <c r="D701" s="30"/>
    </row>
    <row r="702" ht="12.75">
      <c r="D702" s="30"/>
    </row>
    <row r="703" ht="12.75">
      <c r="D703" s="30"/>
    </row>
    <row r="704" ht="12.75">
      <c r="D704" s="30"/>
    </row>
    <row r="705" ht="12.75">
      <c r="D705" s="30"/>
    </row>
    <row r="706" ht="12.75">
      <c r="D706" s="30"/>
    </row>
    <row r="707" ht="12.75">
      <c r="D707" s="30"/>
    </row>
    <row r="708" ht="12.75">
      <c r="D708" s="30"/>
    </row>
    <row r="709" ht="12.75">
      <c r="D709" s="30"/>
    </row>
    <row r="710" ht="12.75">
      <c r="D710" s="30"/>
    </row>
    <row r="711" ht="12.75">
      <c r="D711" s="30"/>
    </row>
    <row r="712" ht="12.75">
      <c r="D712" s="30"/>
    </row>
    <row r="713" ht="12.75">
      <c r="D713" s="30"/>
    </row>
    <row r="714" ht="12.75">
      <c r="D714" s="30"/>
    </row>
    <row r="715" ht="12.75">
      <c r="D715" s="30"/>
    </row>
    <row r="716" ht="12.75">
      <c r="D716" s="30"/>
    </row>
    <row r="717" ht="12.75">
      <c r="D717" s="30"/>
    </row>
    <row r="718" ht="12.75">
      <c r="D718" s="30"/>
    </row>
    <row r="719" ht="12.75">
      <c r="D719" s="30"/>
    </row>
    <row r="720" ht="12.75">
      <c r="D720" s="30"/>
    </row>
    <row r="721" ht="12.75">
      <c r="D721" s="30"/>
    </row>
    <row r="722" ht="12.75">
      <c r="D722" s="30"/>
    </row>
    <row r="723" ht="12.75">
      <c r="D723" s="30"/>
    </row>
    <row r="724" ht="12.75">
      <c r="D724" s="30"/>
    </row>
    <row r="725" ht="12.75">
      <c r="D725" s="30"/>
    </row>
    <row r="726" ht="12.75">
      <c r="D726" s="30"/>
    </row>
    <row r="727" ht="12.75">
      <c r="D727" s="30"/>
    </row>
    <row r="728" ht="12.75">
      <c r="D728" s="30"/>
    </row>
    <row r="729" ht="12.75">
      <c r="D729" s="30"/>
    </row>
    <row r="730" ht="12.75">
      <c r="D730" s="30"/>
    </row>
    <row r="731" ht="12.75">
      <c r="D731" s="30"/>
    </row>
    <row r="732" ht="12.75">
      <c r="D732" s="30"/>
    </row>
    <row r="733" ht="12.75">
      <c r="D733" s="30"/>
    </row>
    <row r="734" ht="12.75">
      <c r="D734" s="30"/>
    </row>
    <row r="735" ht="12.75">
      <c r="D735" s="30"/>
    </row>
    <row r="736" ht="12.75">
      <c r="D736" s="30"/>
    </row>
    <row r="737" ht="12.75">
      <c r="D737" s="30"/>
    </row>
    <row r="738" ht="12.75">
      <c r="D738" s="30"/>
    </row>
    <row r="739" ht="12.75">
      <c r="D739" s="30"/>
    </row>
    <row r="740" ht="12.75">
      <c r="D740" s="30"/>
    </row>
    <row r="741" ht="12.75">
      <c r="D741" s="30"/>
    </row>
    <row r="742" ht="12.75">
      <c r="D742" s="30"/>
    </row>
    <row r="743" ht="12.75">
      <c r="D743" s="30"/>
    </row>
    <row r="744" ht="12.75">
      <c r="D744" s="30"/>
    </row>
    <row r="745" ht="12.75">
      <c r="D745" s="30"/>
    </row>
    <row r="746" ht="12.75">
      <c r="D746" s="30"/>
    </row>
    <row r="747" ht="12.75">
      <c r="D747" s="30"/>
    </row>
    <row r="748" ht="12.75">
      <c r="D748" s="30"/>
    </row>
    <row r="749" ht="12.75">
      <c r="D749" s="30"/>
    </row>
    <row r="750" ht="12.75">
      <c r="D750" s="30"/>
    </row>
    <row r="751" ht="12.75">
      <c r="D751" s="30"/>
    </row>
    <row r="752" ht="12.75">
      <c r="D752" s="30"/>
    </row>
    <row r="753" ht="12.75">
      <c r="D753" s="30"/>
    </row>
    <row r="754" ht="12.75">
      <c r="D754" s="30"/>
    </row>
    <row r="755" ht="12.75">
      <c r="D755" s="30"/>
    </row>
    <row r="756" ht="12.75">
      <c r="D756" s="30"/>
    </row>
    <row r="757" ht="12.75">
      <c r="D757" s="30"/>
    </row>
    <row r="758" ht="12.75">
      <c r="D758" s="30"/>
    </row>
    <row r="759" ht="12.75">
      <c r="D759" s="30"/>
    </row>
    <row r="760" ht="12.75">
      <c r="D760" s="30"/>
    </row>
    <row r="761" ht="12.75">
      <c r="D761" s="30"/>
    </row>
    <row r="762" ht="12.75">
      <c r="D762" s="30"/>
    </row>
    <row r="763" ht="12.75">
      <c r="D763" s="30"/>
    </row>
    <row r="764" ht="12.75">
      <c r="D764" s="30"/>
    </row>
    <row r="765" ht="12.75">
      <c r="D765" s="30"/>
    </row>
    <row r="766" ht="12.75">
      <c r="D766" s="30"/>
    </row>
    <row r="767" ht="12.75">
      <c r="D767" s="30"/>
    </row>
    <row r="768" ht="12.75">
      <c r="D768" s="30"/>
    </row>
    <row r="769" ht="12.75">
      <c r="D769" s="30"/>
    </row>
    <row r="770" ht="12.75">
      <c r="D770" s="30"/>
    </row>
    <row r="771" ht="12.75">
      <c r="D771" s="30"/>
    </row>
    <row r="772" ht="12.75">
      <c r="D772" s="30"/>
    </row>
    <row r="773" ht="12.75">
      <c r="D773" s="30"/>
    </row>
    <row r="774" ht="12.75">
      <c r="D774" s="30"/>
    </row>
    <row r="775" ht="12.75">
      <c r="D775" s="30"/>
    </row>
    <row r="776" ht="12.75">
      <c r="D776" s="30"/>
    </row>
    <row r="777" ht="12.75">
      <c r="D777" s="30"/>
    </row>
    <row r="778" ht="12.75">
      <c r="D778" s="30"/>
    </row>
    <row r="779" ht="12.75">
      <c r="D779" s="30"/>
    </row>
    <row r="780" ht="12.75">
      <c r="D780" s="30"/>
    </row>
    <row r="781" ht="12.75">
      <c r="D781" s="30"/>
    </row>
    <row r="782" ht="12.75">
      <c r="D782" s="30"/>
    </row>
    <row r="783" ht="12.75">
      <c r="D783" s="30"/>
    </row>
    <row r="784" ht="12.75">
      <c r="D784" s="30"/>
    </row>
    <row r="785" ht="12.75">
      <c r="D785" s="30"/>
    </row>
    <row r="786" ht="12.75">
      <c r="D786" s="30"/>
    </row>
    <row r="787" ht="12.75">
      <c r="D787" s="30"/>
    </row>
    <row r="788" ht="12.75">
      <c r="D788" s="30"/>
    </row>
    <row r="789" ht="12.75">
      <c r="D789" s="30"/>
    </row>
    <row r="790" ht="12.75">
      <c r="D790" s="30"/>
    </row>
    <row r="791" ht="12.75">
      <c r="D791" s="30"/>
    </row>
    <row r="792" ht="12.75">
      <c r="D792" s="30"/>
    </row>
    <row r="793" ht="12.75">
      <c r="D793" s="30"/>
    </row>
    <row r="794" ht="12.75">
      <c r="D794" s="30"/>
    </row>
    <row r="795" ht="12.75">
      <c r="D795" s="30"/>
    </row>
    <row r="796" ht="12.75">
      <c r="D796" s="30"/>
    </row>
    <row r="797" ht="12.75">
      <c r="D797" s="30"/>
    </row>
    <row r="798" ht="12.75">
      <c r="D798" s="30"/>
    </row>
    <row r="799" ht="12.75">
      <c r="D799" s="30"/>
    </row>
    <row r="800" ht="12.75">
      <c r="D800" s="30"/>
    </row>
    <row r="801" ht="12.75">
      <c r="D801" s="30"/>
    </row>
    <row r="802" ht="12.75">
      <c r="D802" s="30"/>
    </row>
    <row r="803" ht="12.75">
      <c r="D803" s="30"/>
    </row>
    <row r="804" ht="12.75">
      <c r="D804" s="30"/>
    </row>
    <row r="805" ht="12.75">
      <c r="D805" s="30"/>
    </row>
    <row r="806" ht="12.75">
      <c r="D806" s="30"/>
    </row>
    <row r="807" ht="12.75">
      <c r="D807" s="30"/>
    </row>
    <row r="808" ht="12.75">
      <c r="D808" s="30"/>
    </row>
    <row r="809" ht="12.75">
      <c r="D809" s="30"/>
    </row>
    <row r="810" ht="12.75">
      <c r="D810" s="30"/>
    </row>
    <row r="811" ht="12.75">
      <c r="D811" s="30"/>
    </row>
    <row r="812" ht="12.75">
      <c r="D812" s="30"/>
    </row>
    <row r="813" ht="12.75">
      <c r="D813" s="30"/>
    </row>
    <row r="814" ht="12.75">
      <c r="D814" s="30"/>
    </row>
    <row r="815" ht="12.75">
      <c r="D815" s="30"/>
    </row>
    <row r="816" ht="12.75">
      <c r="D816" s="30"/>
    </row>
    <row r="817" ht="12.75">
      <c r="D817" s="30"/>
    </row>
    <row r="818" ht="12.75">
      <c r="D818" s="30"/>
    </row>
    <row r="819" ht="12.75">
      <c r="D819" s="30"/>
    </row>
    <row r="820" ht="12.75">
      <c r="D820" s="30"/>
    </row>
    <row r="821" ht="12.75">
      <c r="D821" s="30"/>
    </row>
    <row r="822" ht="12.75">
      <c r="D822" s="30"/>
    </row>
    <row r="823" ht="12.75">
      <c r="D823" s="30"/>
    </row>
    <row r="824" ht="12.75">
      <c r="D824" s="30"/>
    </row>
    <row r="825" ht="12.75">
      <c r="D825" s="30"/>
    </row>
    <row r="826" ht="12.75">
      <c r="D826" s="30"/>
    </row>
    <row r="827" ht="12.75">
      <c r="D827" s="30"/>
    </row>
    <row r="828" ht="12.75">
      <c r="D828" s="30"/>
    </row>
    <row r="829" ht="12.75">
      <c r="D829" s="30"/>
    </row>
    <row r="830" ht="12.75">
      <c r="D830" s="30"/>
    </row>
    <row r="831" ht="12.75">
      <c r="D831" s="30"/>
    </row>
    <row r="832" ht="12.75">
      <c r="D832" s="30"/>
    </row>
    <row r="833" ht="12.75">
      <c r="D833" s="30"/>
    </row>
    <row r="834" ht="12.75">
      <c r="D834" s="30"/>
    </row>
    <row r="835" ht="12.75">
      <c r="D835" s="30"/>
    </row>
    <row r="836" ht="12.75">
      <c r="D836" s="30"/>
    </row>
    <row r="837" ht="12.75">
      <c r="D837" s="30"/>
    </row>
    <row r="838" ht="12.75">
      <c r="D838" s="30"/>
    </row>
    <row r="839" ht="12.75">
      <c r="D839" s="30"/>
    </row>
    <row r="840" ht="12.75">
      <c r="D840" s="30"/>
    </row>
    <row r="841" ht="12.75">
      <c r="D841" s="30"/>
    </row>
    <row r="842" ht="12.75">
      <c r="D842" s="30"/>
    </row>
    <row r="843" ht="12.75">
      <c r="D843" s="30"/>
    </row>
    <row r="844" ht="12.75">
      <c r="D844" s="30"/>
    </row>
    <row r="845" ht="12.75">
      <c r="D845" s="30"/>
    </row>
    <row r="846" ht="12.75">
      <c r="D846" s="30"/>
    </row>
    <row r="847" ht="12.75">
      <c r="D847" s="30"/>
    </row>
    <row r="848" ht="12.75">
      <c r="D848" s="30"/>
    </row>
    <row r="849" ht="12.75">
      <c r="D849" s="30"/>
    </row>
    <row r="850" ht="12.75">
      <c r="D850" s="30"/>
    </row>
    <row r="851" ht="12.75">
      <c r="D851" s="30"/>
    </row>
    <row r="852" ht="12.75">
      <c r="D852" s="30"/>
    </row>
    <row r="853" ht="12.75">
      <c r="D853" s="30"/>
    </row>
    <row r="854" ht="12.75">
      <c r="D854" s="30"/>
    </row>
    <row r="855" ht="12.75">
      <c r="D855" s="30"/>
    </row>
    <row r="856" ht="12.75">
      <c r="D856" s="30"/>
    </row>
    <row r="857" ht="12.75">
      <c r="D857" s="30"/>
    </row>
    <row r="858" ht="12.75">
      <c r="D858" s="30"/>
    </row>
    <row r="859" ht="12.75">
      <c r="D859" s="30"/>
    </row>
    <row r="860" ht="12.75">
      <c r="D860" s="30"/>
    </row>
    <row r="861" ht="12.75">
      <c r="D861" s="30"/>
    </row>
    <row r="862" ht="12.75">
      <c r="D862" s="30"/>
    </row>
    <row r="863" ht="12.75">
      <c r="D863" s="30"/>
    </row>
    <row r="864" ht="12.75">
      <c r="D864" s="30"/>
    </row>
    <row r="865" ht="12.75">
      <c r="D865" s="30"/>
    </row>
    <row r="866" ht="12.75">
      <c r="D866" s="30"/>
    </row>
    <row r="867" ht="12.75">
      <c r="D867" s="30"/>
    </row>
    <row r="868" ht="12.75">
      <c r="D868" s="30"/>
    </row>
    <row r="869" ht="12.75">
      <c r="D869" s="30"/>
    </row>
    <row r="870" ht="12.75">
      <c r="D870" s="30"/>
    </row>
    <row r="871" ht="12.75">
      <c r="D871" s="30"/>
    </row>
    <row r="872" ht="12.75">
      <c r="D872" s="30"/>
    </row>
    <row r="873" ht="12.75">
      <c r="D873" s="30"/>
    </row>
    <row r="874" ht="12.75">
      <c r="D874" s="30"/>
    </row>
    <row r="875" ht="12.75">
      <c r="D875" s="30"/>
    </row>
    <row r="876" ht="12.75">
      <c r="D876" s="30"/>
    </row>
    <row r="877" ht="12.75">
      <c r="D877" s="30"/>
    </row>
    <row r="878" ht="12.75">
      <c r="D878" s="30"/>
    </row>
    <row r="879" ht="12.75">
      <c r="D879" s="30"/>
    </row>
    <row r="880" ht="12.75">
      <c r="D880" s="30"/>
    </row>
    <row r="881" ht="12.75">
      <c r="D881" s="30"/>
    </row>
    <row r="882" ht="12.75">
      <c r="D882" s="30"/>
    </row>
    <row r="883" ht="12.75">
      <c r="D883" s="30"/>
    </row>
    <row r="884" ht="12.75">
      <c r="D884" s="30"/>
    </row>
    <row r="885" ht="12.75">
      <c r="D885" s="30"/>
    </row>
    <row r="886" ht="12.75">
      <c r="D886" s="30"/>
    </row>
    <row r="887" ht="12.75">
      <c r="D887" s="30"/>
    </row>
    <row r="888" ht="12.75">
      <c r="D888" s="30"/>
    </row>
    <row r="889" ht="12.75">
      <c r="D889" s="30"/>
    </row>
    <row r="890" ht="12.75">
      <c r="D890" s="30"/>
    </row>
    <row r="891" ht="12.75">
      <c r="D891" s="30"/>
    </row>
    <row r="892" ht="12.75">
      <c r="D892" s="30"/>
    </row>
    <row r="893" ht="12.75">
      <c r="D893" s="30"/>
    </row>
    <row r="894" ht="12.75">
      <c r="D894" s="30"/>
    </row>
    <row r="895" ht="12.75">
      <c r="D895" s="30"/>
    </row>
    <row r="896" ht="12.75">
      <c r="D896" s="30"/>
    </row>
    <row r="897" ht="12.75">
      <c r="D897" s="30"/>
    </row>
    <row r="898" ht="12.75">
      <c r="D898" s="30"/>
    </row>
    <row r="899" ht="12.75">
      <c r="D899" s="30"/>
    </row>
    <row r="900" ht="12.75">
      <c r="D900" s="30"/>
    </row>
    <row r="901" ht="12.75">
      <c r="D901" s="30"/>
    </row>
    <row r="902" ht="12.75">
      <c r="D902" s="30"/>
    </row>
    <row r="903" ht="12.75">
      <c r="D903" s="30"/>
    </row>
    <row r="904" ht="12.75">
      <c r="D904" s="30"/>
    </row>
    <row r="905" ht="12.75">
      <c r="D905" s="30"/>
    </row>
    <row r="906" ht="12.75">
      <c r="D906" s="30"/>
    </row>
    <row r="907" ht="12.75">
      <c r="D907" s="30"/>
    </row>
    <row r="908" ht="12.75">
      <c r="D908" s="30"/>
    </row>
    <row r="909" ht="12.75">
      <c r="D909" s="30"/>
    </row>
    <row r="910" ht="12.75">
      <c r="D910" s="30"/>
    </row>
    <row r="911" ht="12.75">
      <c r="D911" s="30"/>
    </row>
    <row r="912" ht="12.75">
      <c r="D912" s="30"/>
    </row>
    <row r="913" ht="12.75">
      <c r="D913" s="30"/>
    </row>
    <row r="914" ht="12.75">
      <c r="D914" s="30"/>
    </row>
    <row r="915" ht="12.75">
      <c r="D915" s="30"/>
    </row>
    <row r="916" ht="12.75">
      <c r="D916" s="30"/>
    </row>
    <row r="917" ht="12.75">
      <c r="D917" s="30"/>
    </row>
    <row r="918" ht="12.75">
      <c r="D918" s="30"/>
    </row>
    <row r="919" ht="12.75">
      <c r="D919" s="30"/>
    </row>
    <row r="920" ht="12.75">
      <c r="D920" s="30"/>
    </row>
    <row r="921" ht="12.75">
      <c r="D921" s="30"/>
    </row>
    <row r="922" ht="12.75">
      <c r="D922" s="30"/>
    </row>
    <row r="923" ht="12.75">
      <c r="D923" s="30"/>
    </row>
    <row r="924" ht="12.75">
      <c r="D924" s="30"/>
    </row>
    <row r="925" ht="12.75">
      <c r="D925" s="30"/>
    </row>
    <row r="926" ht="12.75">
      <c r="D926" s="30"/>
    </row>
    <row r="927" ht="12.75">
      <c r="D927" s="30"/>
    </row>
    <row r="928" ht="12.75">
      <c r="D928" s="30"/>
    </row>
    <row r="929" ht="12.75">
      <c r="D929" s="30"/>
    </row>
    <row r="930" ht="12.75">
      <c r="D930" s="30"/>
    </row>
    <row r="931" ht="12.75">
      <c r="D931" s="30"/>
    </row>
    <row r="932" ht="12.75">
      <c r="D932" s="30"/>
    </row>
    <row r="933" ht="12.75">
      <c r="D933" s="30"/>
    </row>
    <row r="934" ht="12.75">
      <c r="D934" s="30"/>
    </row>
    <row r="935" ht="12.75">
      <c r="D935" s="30"/>
    </row>
    <row r="936" ht="12.75">
      <c r="D936" s="30"/>
    </row>
    <row r="937" ht="12.75">
      <c r="D937" s="30"/>
    </row>
    <row r="938" ht="12.75">
      <c r="D938" s="30"/>
    </row>
    <row r="939" ht="12.75">
      <c r="D939" s="30"/>
    </row>
    <row r="940" ht="12.75">
      <c r="D940" s="30"/>
    </row>
    <row r="941" ht="12.75">
      <c r="D941" s="30"/>
    </row>
    <row r="942" ht="12.75">
      <c r="D942" s="30"/>
    </row>
    <row r="943" ht="12.75">
      <c r="D943" s="30"/>
    </row>
    <row r="944" ht="12.75">
      <c r="D944" s="30"/>
    </row>
    <row r="945" ht="12.75">
      <c r="D945" s="30"/>
    </row>
    <row r="946" ht="12.75">
      <c r="D946" s="30"/>
    </row>
    <row r="947" ht="12.75">
      <c r="D947" s="30"/>
    </row>
    <row r="948" ht="12.75">
      <c r="D948" s="30"/>
    </row>
    <row r="949" ht="12.75">
      <c r="D949" s="30"/>
    </row>
    <row r="950" ht="12.75">
      <c r="D950" s="30"/>
    </row>
    <row r="951" ht="12.75">
      <c r="D951" s="30"/>
    </row>
    <row r="952" ht="12.75">
      <c r="D952" s="30"/>
    </row>
    <row r="953" ht="12.75">
      <c r="D953" s="30"/>
    </row>
    <row r="954" ht="12.75">
      <c r="D954" s="30"/>
    </row>
    <row r="955" ht="12.75">
      <c r="D955" s="30"/>
    </row>
    <row r="956" ht="12.75">
      <c r="D956" s="30"/>
    </row>
    <row r="957" ht="12.75">
      <c r="D957" s="30"/>
    </row>
    <row r="958" ht="12.75">
      <c r="D958" s="30"/>
    </row>
    <row r="959" ht="12.75">
      <c r="D959" s="30"/>
    </row>
    <row r="960" ht="12.75">
      <c r="D960" s="30"/>
    </row>
    <row r="961" ht="12.75">
      <c r="D961" s="30"/>
    </row>
    <row r="962" ht="12.75">
      <c r="D962" s="30"/>
    </row>
    <row r="963" ht="12.75">
      <c r="D963" s="30"/>
    </row>
    <row r="964" ht="12.75">
      <c r="D964" s="30"/>
    </row>
    <row r="965" ht="12.75">
      <c r="D965" s="30"/>
    </row>
    <row r="966" ht="12.75">
      <c r="D966" s="30"/>
    </row>
    <row r="967" ht="12.75">
      <c r="D967" s="30"/>
    </row>
    <row r="968" ht="12.75">
      <c r="D968" s="30"/>
    </row>
    <row r="969" ht="12.75">
      <c r="D969" s="30"/>
    </row>
    <row r="970" ht="12.75">
      <c r="D970" s="30"/>
    </row>
    <row r="971" ht="12.75">
      <c r="D971" s="30"/>
    </row>
    <row r="972" ht="12.75">
      <c r="D972" s="30"/>
    </row>
    <row r="973" ht="12.75">
      <c r="D973" s="30"/>
    </row>
    <row r="974" ht="12.75">
      <c r="D974" s="30"/>
    </row>
    <row r="975" ht="12.75">
      <c r="D975" s="30"/>
    </row>
    <row r="976" ht="12.75">
      <c r="D976" s="30"/>
    </row>
    <row r="977" ht="12.75">
      <c r="D977" s="30"/>
    </row>
    <row r="978" ht="12.75">
      <c r="D978" s="30"/>
    </row>
    <row r="979" ht="12.75">
      <c r="D979" s="30"/>
    </row>
    <row r="980" ht="12.75">
      <c r="D980" s="30"/>
    </row>
    <row r="981" ht="12.75">
      <c r="D981" s="30"/>
    </row>
    <row r="982" ht="12.75">
      <c r="D982" s="30"/>
    </row>
    <row r="983" ht="12.75">
      <c r="D983" s="30"/>
    </row>
    <row r="984" ht="12.75">
      <c r="D984" s="30"/>
    </row>
    <row r="985" ht="12.75">
      <c r="D985" s="30"/>
    </row>
    <row r="986" ht="12.75">
      <c r="D986" s="30"/>
    </row>
    <row r="987" ht="12.75">
      <c r="D987" s="30"/>
    </row>
    <row r="988" ht="12.75">
      <c r="D988" s="30"/>
    </row>
    <row r="989" ht="12.75">
      <c r="D989" s="30"/>
    </row>
    <row r="990" ht="12.75">
      <c r="D990" s="30"/>
    </row>
    <row r="991" ht="12.75">
      <c r="D991" s="30"/>
    </row>
    <row r="992" ht="12.75">
      <c r="D992" s="30"/>
    </row>
    <row r="993" ht="12.75">
      <c r="D993" s="30"/>
    </row>
    <row r="994" ht="12.75">
      <c r="D994" s="30"/>
    </row>
    <row r="995" ht="12.75">
      <c r="D995" s="30"/>
    </row>
    <row r="996" ht="12.75">
      <c r="D996" s="30"/>
    </row>
    <row r="997" ht="12.75">
      <c r="D997" s="30"/>
    </row>
    <row r="998" ht="12.75">
      <c r="D998" s="30"/>
    </row>
    <row r="999" ht="12.75">
      <c r="D999" s="30"/>
    </row>
    <row r="1000" ht="12.75">
      <c r="D1000" s="30"/>
    </row>
    <row r="1001" ht="12.75">
      <c r="D1001" s="30"/>
    </row>
    <row r="1002" ht="12.75">
      <c r="D1002" s="30"/>
    </row>
    <row r="1003" ht="12.75">
      <c r="D1003" s="30"/>
    </row>
    <row r="1004" ht="12.75">
      <c r="D1004" s="30"/>
    </row>
    <row r="1005" ht="12.75">
      <c r="D1005" s="30"/>
    </row>
    <row r="1006" ht="12.75">
      <c r="D1006" s="30"/>
    </row>
    <row r="1007" ht="12.75">
      <c r="D1007" s="30"/>
    </row>
    <row r="1008" ht="12.75">
      <c r="D1008" s="30"/>
    </row>
    <row r="1009" ht="12.75">
      <c r="D1009" s="30"/>
    </row>
    <row r="1010" ht="12.75">
      <c r="D1010" s="30"/>
    </row>
    <row r="1011" ht="12.75">
      <c r="D1011" s="30"/>
    </row>
    <row r="1012" ht="12.75">
      <c r="D1012" s="30"/>
    </row>
    <row r="1013" ht="12.75">
      <c r="D1013" s="30"/>
    </row>
    <row r="1014" ht="12.75">
      <c r="D1014" s="30"/>
    </row>
    <row r="1015" ht="12.75">
      <c r="D1015" s="30"/>
    </row>
    <row r="1016" ht="12.75">
      <c r="D1016" s="30"/>
    </row>
    <row r="1017" ht="12.75">
      <c r="D1017" s="30"/>
    </row>
    <row r="1018" ht="12.75">
      <c r="D1018" s="30"/>
    </row>
    <row r="1019" ht="12.75">
      <c r="D1019" s="30"/>
    </row>
    <row r="1020" ht="12.75">
      <c r="D1020" s="30"/>
    </row>
    <row r="1021" ht="12.75">
      <c r="D1021" s="30"/>
    </row>
    <row r="1022" ht="12.75">
      <c r="D1022" s="30"/>
    </row>
    <row r="1023" ht="12.75">
      <c r="D1023" s="30"/>
    </row>
    <row r="1024" ht="12.75">
      <c r="D1024" s="30"/>
    </row>
    <row r="1025" ht="12.75">
      <c r="D1025" s="30"/>
    </row>
    <row r="1026" ht="12.75">
      <c r="D1026" s="30"/>
    </row>
    <row r="1027" ht="12.75">
      <c r="D1027" s="30"/>
    </row>
    <row r="1028" ht="12.75">
      <c r="D1028" s="30"/>
    </row>
    <row r="1029" ht="12.75">
      <c r="D1029" s="30"/>
    </row>
    <row r="1030" ht="12.75">
      <c r="D1030" s="30"/>
    </row>
    <row r="1031" ht="12.75">
      <c r="D1031" s="30"/>
    </row>
    <row r="1032" ht="12.75">
      <c r="D1032" s="30"/>
    </row>
    <row r="1033" ht="12.75">
      <c r="D1033" s="30"/>
    </row>
    <row r="1034" ht="12.75">
      <c r="D1034" s="30"/>
    </row>
    <row r="1035" ht="12.75">
      <c r="D1035" s="30"/>
    </row>
    <row r="1036" ht="12.75">
      <c r="D1036" s="30"/>
    </row>
    <row r="1037" ht="12.75">
      <c r="D1037" s="30"/>
    </row>
    <row r="1038" ht="12.75">
      <c r="D1038" s="30"/>
    </row>
    <row r="1039" ht="12.75">
      <c r="D1039" s="30"/>
    </row>
    <row r="1040" ht="12.75">
      <c r="D1040" s="30"/>
    </row>
    <row r="1041" ht="12.75">
      <c r="D1041" s="30"/>
    </row>
    <row r="1042" ht="12.75">
      <c r="D1042" s="30"/>
    </row>
    <row r="1043" ht="12.75">
      <c r="D1043" s="30"/>
    </row>
    <row r="1044" ht="12.75">
      <c r="D1044" s="30"/>
    </row>
    <row r="1045" ht="12.75">
      <c r="D1045" s="30"/>
    </row>
    <row r="1046" ht="12.75">
      <c r="D1046" s="30"/>
    </row>
    <row r="1047" ht="12.75">
      <c r="D1047" s="30"/>
    </row>
    <row r="1048" ht="12.75">
      <c r="D1048" s="30"/>
    </row>
    <row r="1049" ht="12.75">
      <c r="D1049" s="30"/>
    </row>
    <row r="1050" ht="12.75">
      <c r="D1050" s="30"/>
    </row>
    <row r="1051" ht="12.75">
      <c r="D1051" s="30"/>
    </row>
    <row r="1052" ht="12.75">
      <c r="D1052" s="30"/>
    </row>
    <row r="1053" ht="12.75">
      <c r="D1053" s="30"/>
    </row>
    <row r="1054" ht="12.75">
      <c r="D1054" s="30"/>
    </row>
    <row r="1055" ht="12.75">
      <c r="D1055" s="30"/>
    </row>
    <row r="1056" ht="12.75">
      <c r="D1056" s="30"/>
    </row>
    <row r="1057" ht="12.75">
      <c r="D1057" s="30"/>
    </row>
    <row r="1058" ht="12.75">
      <c r="D1058" s="30"/>
    </row>
    <row r="1059" ht="12.75">
      <c r="D1059" s="30"/>
    </row>
    <row r="1060" ht="12.75">
      <c r="D1060" s="30"/>
    </row>
    <row r="1061" ht="12.75">
      <c r="D1061" s="30"/>
    </row>
    <row r="1062" ht="12.75">
      <c r="D1062" s="30"/>
    </row>
    <row r="1063" ht="12.75">
      <c r="D1063" s="30"/>
    </row>
    <row r="1064" ht="12.75">
      <c r="D1064" s="30"/>
    </row>
    <row r="1065" ht="12.75">
      <c r="D1065" s="30"/>
    </row>
    <row r="1066" ht="12.75">
      <c r="D1066" s="30"/>
    </row>
    <row r="1067" ht="12.75">
      <c r="D1067" s="30"/>
    </row>
    <row r="1068" ht="12.75">
      <c r="D1068" s="30"/>
    </row>
    <row r="1069" ht="12.75">
      <c r="D1069" s="30"/>
    </row>
    <row r="1070" ht="12.75">
      <c r="D1070" s="30"/>
    </row>
    <row r="1071" ht="12.75">
      <c r="D1071" s="30"/>
    </row>
    <row r="1072" ht="12.75">
      <c r="D1072" s="30"/>
    </row>
    <row r="1073" ht="12.75">
      <c r="D1073" s="30"/>
    </row>
    <row r="1074" ht="12.75">
      <c r="D1074" s="30"/>
    </row>
    <row r="1075" ht="12.75">
      <c r="D1075" s="30"/>
    </row>
    <row r="1076" ht="12.75">
      <c r="D1076" s="30"/>
    </row>
    <row r="1077" ht="12.75">
      <c r="D1077" s="30"/>
    </row>
    <row r="1078" ht="12.75">
      <c r="D1078" s="30"/>
    </row>
    <row r="1079" ht="12.75">
      <c r="D1079" s="30"/>
    </row>
    <row r="1080" ht="12.75">
      <c r="D1080" s="30"/>
    </row>
    <row r="1081" ht="12.75">
      <c r="D1081" s="30"/>
    </row>
    <row r="1082" ht="12.75">
      <c r="D1082" s="30"/>
    </row>
    <row r="1083" ht="12.75">
      <c r="D1083" s="30"/>
    </row>
    <row r="1084" ht="12.75">
      <c r="D1084" s="30"/>
    </row>
    <row r="1085" ht="12.75">
      <c r="D1085" s="30"/>
    </row>
    <row r="1086" ht="12.75">
      <c r="D1086" s="30"/>
    </row>
    <row r="1087" ht="12.75">
      <c r="D1087" s="30"/>
    </row>
    <row r="1088" ht="12.75">
      <c r="D1088" s="30"/>
    </row>
    <row r="1089" ht="12.75">
      <c r="D1089" s="30"/>
    </row>
    <row r="1090" ht="12.75">
      <c r="D1090" s="30"/>
    </row>
    <row r="1091" ht="12.75">
      <c r="D1091" s="30"/>
    </row>
    <row r="1092" ht="12.75">
      <c r="D1092" s="30"/>
    </row>
    <row r="1093" ht="12.75">
      <c r="D1093" s="30"/>
    </row>
    <row r="1094" ht="12.75">
      <c r="D1094" s="30"/>
    </row>
    <row r="1095" ht="12.75">
      <c r="D1095" s="30"/>
    </row>
    <row r="1096" ht="12.75">
      <c r="D1096" s="30"/>
    </row>
    <row r="1097" ht="12.75">
      <c r="D1097" s="30"/>
    </row>
    <row r="1098" ht="12.75">
      <c r="D1098" s="30"/>
    </row>
    <row r="1099" ht="12.75">
      <c r="D1099" s="30"/>
    </row>
    <row r="1100" ht="12.75">
      <c r="D1100" s="30"/>
    </row>
    <row r="1101" ht="12.75">
      <c r="D1101" s="30"/>
    </row>
    <row r="1102" ht="12.75">
      <c r="D1102" s="30"/>
    </row>
    <row r="1103" ht="12.75">
      <c r="D1103" s="30"/>
    </row>
    <row r="1104" ht="12.75">
      <c r="D1104" s="30"/>
    </row>
    <row r="1105" ht="12.75">
      <c r="D1105" s="30"/>
    </row>
    <row r="1106" ht="12.75">
      <c r="D1106" s="30"/>
    </row>
    <row r="1107" ht="12.75">
      <c r="D1107" s="30"/>
    </row>
    <row r="1108" ht="12.75">
      <c r="D1108" s="30"/>
    </row>
    <row r="1109" ht="12.75">
      <c r="D1109" s="30"/>
    </row>
    <row r="1110" ht="12.75">
      <c r="D1110" s="30"/>
    </row>
    <row r="1111" ht="12.75">
      <c r="D1111" s="30"/>
    </row>
    <row r="1112" ht="12.75">
      <c r="D1112" s="30"/>
    </row>
    <row r="1113" ht="12.75">
      <c r="D1113" s="30"/>
    </row>
    <row r="1114" ht="12.75">
      <c r="D1114" s="30"/>
    </row>
    <row r="1115" ht="12.75">
      <c r="D1115" s="30"/>
    </row>
    <row r="1116" ht="12.75">
      <c r="D1116" s="30"/>
    </row>
    <row r="1117" ht="12.75">
      <c r="D1117" s="30"/>
    </row>
    <row r="1118" ht="12.75">
      <c r="D1118" s="30"/>
    </row>
    <row r="1119" ht="12.75">
      <c r="D1119" s="30"/>
    </row>
    <row r="1120" ht="12.75">
      <c r="D1120" s="30"/>
    </row>
    <row r="1121" ht="12.75">
      <c r="D1121" s="30"/>
    </row>
    <row r="1122" ht="12.75">
      <c r="D1122" s="30"/>
    </row>
    <row r="1123" ht="12.75">
      <c r="D1123" s="30"/>
    </row>
    <row r="1124" ht="12.75">
      <c r="D1124" s="30"/>
    </row>
    <row r="1125" ht="12.75">
      <c r="D1125" s="30"/>
    </row>
    <row r="1126" ht="12.75">
      <c r="D1126" s="30"/>
    </row>
    <row r="1127" ht="12.75">
      <c r="D1127" s="30"/>
    </row>
    <row r="1128" ht="12.75">
      <c r="D1128" s="30"/>
    </row>
    <row r="1129" ht="12.75">
      <c r="D1129" s="30"/>
    </row>
    <row r="1130" ht="12.75">
      <c r="D1130" s="30"/>
    </row>
    <row r="1131" ht="12.75">
      <c r="D1131" s="30"/>
    </row>
    <row r="1132" ht="12.75">
      <c r="D1132" s="30"/>
    </row>
    <row r="1133" ht="12.75">
      <c r="D1133" s="30"/>
    </row>
    <row r="1134" ht="12.75">
      <c r="D1134" s="30"/>
    </row>
    <row r="1135" ht="12.75">
      <c r="D1135" s="30"/>
    </row>
    <row r="1136" ht="12.75">
      <c r="D1136" s="30"/>
    </row>
    <row r="1137" ht="12.75">
      <c r="D1137" s="30"/>
    </row>
    <row r="1138" ht="12.75">
      <c r="D1138" s="30"/>
    </row>
    <row r="1139" ht="12.75">
      <c r="D1139" s="30"/>
    </row>
    <row r="1140" ht="12.75">
      <c r="D1140" s="30"/>
    </row>
    <row r="1141" ht="12.75">
      <c r="D1141" s="30"/>
    </row>
    <row r="1142" ht="12.75">
      <c r="D1142" s="30"/>
    </row>
    <row r="1143" ht="12.75">
      <c r="D1143" s="30"/>
    </row>
    <row r="1144" ht="12.75">
      <c r="D1144" s="30"/>
    </row>
    <row r="1145" ht="12.75">
      <c r="D1145" s="30"/>
    </row>
    <row r="1146" ht="12.75">
      <c r="D1146" s="30"/>
    </row>
    <row r="1147" ht="12.75">
      <c r="D1147" s="30"/>
    </row>
    <row r="1148" ht="12.75">
      <c r="D1148" s="30"/>
    </row>
    <row r="1149" ht="12.75">
      <c r="D1149" s="30"/>
    </row>
    <row r="1150" ht="12.75">
      <c r="D1150" s="30"/>
    </row>
    <row r="1151" ht="12.75">
      <c r="D1151" s="30"/>
    </row>
    <row r="1152" ht="12.75">
      <c r="D1152" s="30"/>
    </row>
    <row r="1153" ht="12.75">
      <c r="D1153" s="30"/>
    </row>
    <row r="1154" ht="12.75">
      <c r="D1154" s="30"/>
    </row>
    <row r="1155" ht="12.75">
      <c r="D1155" s="30"/>
    </row>
    <row r="1156" ht="12.75">
      <c r="D1156" s="30"/>
    </row>
    <row r="1157" ht="12.75">
      <c r="D1157" s="30"/>
    </row>
    <row r="1158" ht="12.75">
      <c r="D1158" s="30"/>
    </row>
    <row r="1159" ht="12.75">
      <c r="D1159" s="30"/>
    </row>
    <row r="1160" ht="12.75">
      <c r="D1160" s="30"/>
    </row>
    <row r="1161" ht="12.75">
      <c r="D1161" s="30"/>
    </row>
    <row r="1162" ht="12.75">
      <c r="D1162" s="30"/>
    </row>
    <row r="1163" ht="12.75">
      <c r="D1163" s="30"/>
    </row>
    <row r="1164" ht="12.75">
      <c r="D1164" s="30"/>
    </row>
    <row r="1165" ht="12.75">
      <c r="D1165" s="30"/>
    </row>
    <row r="1166" ht="12.75">
      <c r="D1166" s="30"/>
    </row>
    <row r="1167" ht="12.75">
      <c r="D1167" s="30"/>
    </row>
    <row r="1168" ht="12.75">
      <c r="D1168" s="30"/>
    </row>
    <row r="1169" ht="12.75">
      <c r="D1169" s="30"/>
    </row>
    <row r="1170" ht="12.75">
      <c r="D1170" s="30"/>
    </row>
    <row r="1171" ht="12.75">
      <c r="D1171" s="30"/>
    </row>
    <row r="1172" ht="12.75">
      <c r="D1172" s="30"/>
    </row>
    <row r="1173" ht="12.75">
      <c r="D1173" s="30"/>
    </row>
    <row r="1174" ht="12.75">
      <c r="D1174" s="30"/>
    </row>
    <row r="1175" ht="12.75">
      <c r="D1175" s="30"/>
    </row>
    <row r="1176" ht="12.75">
      <c r="D1176" s="30"/>
    </row>
    <row r="1177" ht="12.75">
      <c r="D1177" s="30"/>
    </row>
    <row r="1178" ht="12.75">
      <c r="D1178" s="30"/>
    </row>
    <row r="1179" ht="12.75">
      <c r="D1179" s="30"/>
    </row>
    <row r="1180" ht="12.75">
      <c r="D1180" s="30"/>
    </row>
    <row r="1181" ht="12.75">
      <c r="D1181" s="30"/>
    </row>
    <row r="1182" ht="12.75">
      <c r="D1182" s="30"/>
    </row>
    <row r="1183" ht="12.75">
      <c r="D1183" s="30"/>
    </row>
    <row r="1184" ht="12.75">
      <c r="D1184" s="30"/>
    </row>
    <row r="1185" ht="12.75">
      <c r="D1185" s="30"/>
    </row>
    <row r="1186" ht="12.75">
      <c r="D1186" s="30"/>
    </row>
    <row r="1187" ht="12.75">
      <c r="D1187" s="30"/>
    </row>
    <row r="1188" ht="12.75">
      <c r="D1188" s="30"/>
    </row>
    <row r="1189" ht="12.75">
      <c r="D1189" s="30"/>
    </row>
    <row r="1190" ht="12.75">
      <c r="D1190" s="30"/>
    </row>
    <row r="1191" ht="12.75">
      <c r="D1191" s="30"/>
    </row>
    <row r="1192" ht="12.75">
      <c r="D1192" s="30"/>
    </row>
    <row r="1193" ht="12.75">
      <c r="D1193" s="30"/>
    </row>
    <row r="1194" ht="12.75">
      <c r="D1194" s="30"/>
    </row>
    <row r="1195" ht="12.75">
      <c r="D1195" s="30"/>
    </row>
    <row r="1196" ht="12.75">
      <c r="D1196" s="30"/>
    </row>
    <row r="1197" ht="12.75">
      <c r="D1197" s="30"/>
    </row>
    <row r="1198" ht="12.75">
      <c r="D1198" s="30"/>
    </row>
    <row r="1199" ht="12.75">
      <c r="D1199" s="30"/>
    </row>
    <row r="1200" ht="12.75">
      <c r="D1200" s="30"/>
    </row>
    <row r="1201" ht="12.75">
      <c r="D1201" s="30"/>
    </row>
    <row r="1202" ht="12.75">
      <c r="D1202" s="30"/>
    </row>
    <row r="1203" ht="12.75">
      <c r="D1203" s="30"/>
    </row>
    <row r="1204" ht="12.75">
      <c r="D1204" s="30"/>
    </row>
    <row r="1205" ht="12.75">
      <c r="D1205" s="30"/>
    </row>
    <row r="1206" ht="12.75">
      <c r="D1206" s="30"/>
    </row>
    <row r="1207" ht="12.75">
      <c r="D1207" s="30"/>
    </row>
    <row r="1208" ht="12.75">
      <c r="D1208" s="30"/>
    </row>
    <row r="1209" ht="12.75">
      <c r="D1209" s="30"/>
    </row>
    <row r="1210" ht="12.75">
      <c r="D1210" s="30"/>
    </row>
    <row r="1211" ht="12.75">
      <c r="D1211" s="30"/>
    </row>
    <row r="1212" ht="12.75">
      <c r="D1212" s="30"/>
    </row>
    <row r="1213" ht="12.75">
      <c r="D1213" s="30"/>
    </row>
    <row r="1214" ht="12.75">
      <c r="D1214" s="30"/>
    </row>
    <row r="1215" ht="12.75">
      <c r="D1215" s="30"/>
    </row>
    <row r="1216" ht="12.75">
      <c r="D1216" s="30"/>
    </row>
    <row r="1217" ht="12.75">
      <c r="D1217" s="30"/>
    </row>
    <row r="1218" ht="12.75">
      <c r="D1218" s="30"/>
    </row>
    <row r="1219" ht="12.75">
      <c r="D1219" s="30"/>
    </row>
    <row r="1220" ht="12.75">
      <c r="D1220" s="30"/>
    </row>
    <row r="1221" ht="12.75">
      <c r="D1221" s="30"/>
    </row>
    <row r="1222" ht="12.75">
      <c r="D1222" s="30"/>
    </row>
    <row r="1223" ht="12.75">
      <c r="D1223" s="30"/>
    </row>
    <row r="1224" ht="12.75">
      <c r="D1224" s="30"/>
    </row>
    <row r="1225" ht="12.75">
      <c r="D1225" s="30"/>
    </row>
    <row r="1226" ht="12.75">
      <c r="D1226" s="30"/>
    </row>
    <row r="1227" ht="12.75">
      <c r="D1227" s="30"/>
    </row>
    <row r="1228" ht="12.75">
      <c r="D1228" s="30"/>
    </row>
    <row r="1229" ht="12.75">
      <c r="D1229" s="30"/>
    </row>
    <row r="1230" ht="12.75">
      <c r="D1230" s="30"/>
    </row>
    <row r="1231" ht="12.75">
      <c r="D1231" s="30"/>
    </row>
    <row r="1232" ht="12.75">
      <c r="D1232" s="30"/>
    </row>
    <row r="1233" ht="12.75">
      <c r="D1233" s="30"/>
    </row>
    <row r="1234" ht="12.75">
      <c r="D1234" s="30"/>
    </row>
    <row r="1235" ht="12.75">
      <c r="D1235" s="30"/>
    </row>
    <row r="1236" ht="12.75">
      <c r="D1236" s="30"/>
    </row>
    <row r="1237" ht="12.75">
      <c r="D1237" s="30"/>
    </row>
    <row r="1238" ht="12.75">
      <c r="D1238" s="30"/>
    </row>
    <row r="1239" ht="12.75">
      <c r="D1239" s="30"/>
    </row>
    <row r="1240" ht="12.75">
      <c r="D1240" s="30"/>
    </row>
    <row r="1241" ht="12.75">
      <c r="D1241" s="30"/>
    </row>
    <row r="1242" ht="12.75">
      <c r="D1242" s="30"/>
    </row>
    <row r="1243" ht="12.75">
      <c r="D1243" s="30"/>
    </row>
    <row r="1244" ht="12.75">
      <c r="D1244" s="30"/>
    </row>
    <row r="1245" ht="12.75">
      <c r="D1245" s="30"/>
    </row>
    <row r="1246" ht="12.75">
      <c r="D1246" s="30"/>
    </row>
    <row r="1247" ht="12.75">
      <c r="D1247" s="30"/>
    </row>
    <row r="1248" ht="12.75">
      <c r="D1248" s="30"/>
    </row>
    <row r="1249" ht="12.75">
      <c r="D1249" s="30"/>
    </row>
    <row r="1250" ht="12.75">
      <c r="D1250" s="30"/>
    </row>
    <row r="1251" ht="12.75">
      <c r="D1251" s="30"/>
    </row>
    <row r="1252" ht="12.75">
      <c r="D1252" s="30"/>
    </row>
    <row r="1253" ht="12.75">
      <c r="D1253" s="30"/>
    </row>
    <row r="1254" ht="12.75">
      <c r="D1254" s="30"/>
    </row>
    <row r="1255" ht="12.75">
      <c r="D1255" s="30"/>
    </row>
    <row r="1256" ht="12.75">
      <c r="D1256" s="30"/>
    </row>
    <row r="1257" ht="12.75">
      <c r="D1257" s="30"/>
    </row>
    <row r="1258" ht="12.75">
      <c r="D1258" s="30"/>
    </row>
    <row r="1259" ht="12.75">
      <c r="D1259" s="30"/>
    </row>
    <row r="1260" ht="12.75">
      <c r="D1260" s="30"/>
    </row>
    <row r="1261" ht="12.75">
      <c r="D1261" s="30"/>
    </row>
    <row r="1262" ht="12.75">
      <c r="D1262" s="30"/>
    </row>
    <row r="1263" ht="12.75">
      <c r="D1263" s="30"/>
    </row>
    <row r="1264" ht="12.75">
      <c r="D1264" s="30"/>
    </row>
    <row r="1265" ht="12.75">
      <c r="D1265" s="30"/>
    </row>
    <row r="1266" ht="12.75">
      <c r="D1266" s="30"/>
    </row>
    <row r="1267" ht="12.75">
      <c r="D1267" s="30"/>
    </row>
    <row r="1268" ht="12.75">
      <c r="D1268" s="30"/>
    </row>
    <row r="1269" ht="12.75">
      <c r="D1269" s="30"/>
    </row>
    <row r="1270" ht="12.75">
      <c r="D1270" s="30"/>
    </row>
    <row r="1271" ht="12.75">
      <c r="D1271" s="30"/>
    </row>
    <row r="1272" ht="12.75">
      <c r="D1272" s="30"/>
    </row>
    <row r="1273" ht="12.75">
      <c r="D1273" s="30"/>
    </row>
    <row r="1274" ht="12.75">
      <c r="D1274" s="30"/>
    </row>
    <row r="1275" ht="12.75">
      <c r="D1275" s="30"/>
    </row>
    <row r="1276" ht="12.75">
      <c r="D1276" s="30"/>
    </row>
    <row r="1277" ht="12.75">
      <c r="D1277" s="30"/>
    </row>
    <row r="1278" ht="12.75">
      <c r="D1278" s="30"/>
    </row>
    <row r="1279" ht="12.75">
      <c r="D1279" s="30"/>
    </row>
    <row r="1280" ht="12.75">
      <c r="D1280" s="30"/>
    </row>
    <row r="1281" ht="12.75">
      <c r="D1281" s="30"/>
    </row>
    <row r="1282" ht="12.75">
      <c r="D1282" s="30"/>
    </row>
    <row r="1283" ht="12.75">
      <c r="D1283" s="30"/>
    </row>
    <row r="1284" ht="12.75">
      <c r="D1284" s="30"/>
    </row>
    <row r="1285" ht="12.75">
      <c r="D1285" s="30"/>
    </row>
    <row r="1286" ht="12.75">
      <c r="D1286" s="30"/>
    </row>
    <row r="1287" ht="12.75">
      <c r="D1287" s="30"/>
    </row>
    <row r="1288" ht="12.75">
      <c r="D1288" s="30"/>
    </row>
    <row r="1289" ht="12.75">
      <c r="D1289" s="30"/>
    </row>
    <row r="1290" ht="12.75">
      <c r="D1290" s="30"/>
    </row>
    <row r="1291" ht="12.75">
      <c r="D1291" s="30"/>
    </row>
    <row r="1292" ht="12.75">
      <c r="D1292" s="30"/>
    </row>
    <row r="1293" ht="12.75">
      <c r="D1293" s="30"/>
    </row>
    <row r="1294" ht="12.75">
      <c r="D1294" s="30"/>
    </row>
    <row r="1295" ht="12.75">
      <c r="D1295" s="30"/>
    </row>
    <row r="1296" ht="12.75">
      <c r="D1296" s="30"/>
    </row>
    <row r="1297" ht="12.75">
      <c r="D1297" s="30"/>
    </row>
    <row r="1298" ht="12.75">
      <c r="D1298" s="30"/>
    </row>
    <row r="1299" ht="12.75">
      <c r="D1299" s="30"/>
    </row>
    <row r="1300" ht="12.75">
      <c r="D1300" s="30"/>
    </row>
    <row r="1301" ht="12.75">
      <c r="D1301" s="30"/>
    </row>
    <row r="1302" ht="12.75">
      <c r="D1302" s="30"/>
    </row>
    <row r="1303" ht="12.75">
      <c r="D1303" s="30"/>
    </row>
    <row r="1304" ht="12.75">
      <c r="D1304" s="30"/>
    </row>
    <row r="1305" ht="12.75">
      <c r="D1305" s="30"/>
    </row>
    <row r="1306" ht="12.75">
      <c r="D1306" s="30"/>
    </row>
    <row r="1307" ht="12.75">
      <c r="D1307" s="30"/>
    </row>
    <row r="1308" ht="12.75">
      <c r="D1308" s="30"/>
    </row>
    <row r="1309" ht="12.75">
      <c r="D1309" s="30"/>
    </row>
    <row r="1310" ht="12.75">
      <c r="D1310" s="30"/>
    </row>
    <row r="1311" ht="12.75">
      <c r="D1311" s="30"/>
    </row>
    <row r="1312" ht="12.75">
      <c r="D1312" s="30"/>
    </row>
    <row r="1313" ht="12.75">
      <c r="D1313" s="30"/>
    </row>
    <row r="1314" ht="12.75">
      <c r="D1314" s="30"/>
    </row>
    <row r="1315" ht="12.75">
      <c r="D1315" s="30"/>
    </row>
    <row r="1316" ht="12.75">
      <c r="D1316" s="30"/>
    </row>
    <row r="1317" ht="12.75">
      <c r="D1317" s="30"/>
    </row>
    <row r="1318" ht="12.75">
      <c r="D1318" s="30"/>
    </row>
    <row r="1319" ht="12.75">
      <c r="D1319" s="30"/>
    </row>
    <row r="1320" ht="12.75">
      <c r="D1320" s="30"/>
    </row>
    <row r="1321" ht="12.75">
      <c r="D1321" s="30"/>
    </row>
    <row r="1322" ht="12.75">
      <c r="D1322" s="30"/>
    </row>
    <row r="1323" ht="12.75">
      <c r="D1323" s="30"/>
    </row>
    <row r="1324" ht="12.75">
      <c r="D1324" s="30"/>
    </row>
    <row r="1325" ht="12.75">
      <c r="D1325" s="30"/>
    </row>
    <row r="1326" ht="12.75">
      <c r="D1326" s="30"/>
    </row>
    <row r="1327" ht="12.75">
      <c r="D1327" s="30"/>
    </row>
    <row r="1328" ht="12.75">
      <c r="D1328" s="30"/>
    </row>
    <row r="1329" ht="12.75">
      <c r="D1329" s="30"/>
    </row>
    <row r="1330" ht="12.75">
      <c r="D1330" s="30"/>
    </row>
    <row r="1331" ht="12.75">
      <c r="D1331" s="30"/>
    </row>
    <row r="1332" ht="12.75">
      <c r="D1332" s="30"/>
    </row>
    <row r="1333" ht="12.75">
      <c r="D1333" s="30"/>
    </row>
    <row r="1334" ht="12.75">
      <c r="D1334" s="30"/>
    </row>
    <row r="1335" ht="12.75">
      <c r="D1335" s="30"/>
    </row>
    <row r="1336" ht="12.75">
      <c r="D1336" s="30"/>
    </row>
    <row r="1337" ht="12.75">
      <c r="D1337" s="30"/>
    </row>
    <row r="1338" ht="12.75">
      <c r="D1338" s="30"/>
    </row>
    <row r="1339" ht="12.75">
      <c r="D1339" s="30"/>
    </row>
    <row r="1340" ht="12.75">
      <c r="D1340" s="30"/>
    </row>
    <row r="1341" ht="12.75">
      <c r="D1341" s="30"/>
    </row>
    <row r="1342" ht="12.75">
      <c r="D1342" s="30"/>
    </row>
    <row r="1343" ht="12.75">
      <c r="D1343" s="30"/>
    </row>
    <row r="1344" ht="12.75">
      <c r="D1344" s="30"/>
    </row>
    <row r="1345" ht="12.75">
      <c r="D1345" s="30"/>
    </row>
    <row r="1346" ht="12.75">
      <c r="D1346" s="30"/>
    </row>
    <row r="1347" ht="12.75">
      <c r="D1347" s="30"/>
    </row>
    <row r="1348" ht="12.75">
      <c r="D1348" s="30"/>
    </row>
    <row r="1349" ht="12.75">
      <c r="D1349" s="30"/>
    </row>
    <row r="1350" ht="12.75">
      <c r="D1350" s="30"/>
    </row>
    <row r="1351" ht="12.75">
      <c r="D1351" s="30"/>
    </row>
    <row r="1352" ht="12.75">
      <c r="D1352" s="30"/>
    </row>
    <row r="1353" ht="12.75">
      <c r="D1353" s="30"/>
    </row>
    <row r="1354" ht="12.75">
      <c r="D1354" s="30"/>
    </row>
    <row r="1355" ht="12.75">
      <c r="D1355" s="30"/>
    </row>
    <row r="1356" ht="12.75">
      <c r="D1356" s="30"/>
    </row>
    <row r="1357" ht="12.75">
      <c r="D1357" s="30"/>
    </row>
    <row r="1358" ht="12.75">
      <c r="D1358" s="30"/>
    </row>
    <row r="1359" ht="12.75">
      <c r="D1359" s="30"/>
    </row>
    <row r="1360" ht="12.75">
      <c r="D1360" s="30"/>
    </row>
    <row r="1361" ht="12.75">
      <c r="D1361" s="30"/>
    </row>
    <row r="1362" ht="12.75">
      <c r="D1362" s="30"/>
    </row>
    <row r="1363" ht="12.75">
      <c r="D1363" s="30"/>
    </row>
    <row r="1364" ht="12.75">
      <c r="D1364" s="30"/>
    </row>
    <row r="1365" ht="12.75">
      <c r="D1365" s="30"/>
    </row>
    <row r="1366" ht="12.75">
      <c r="D1366" s="30"/>
    </row>
    <row r="1367" ht="12.75">
      <c r="D1367" s="30"/>
    </row>
    <row r="1368" ht="12.75">
      <c r="D1368" s="30"/>
    </row>
    <row r="1369" ht="12.75">
      <c r="D1369" s="30"/>
    </row>
    <row r="1370" ht="12.75">
      <c r="D1370" s="30"/>
    </row>
    <row r="1371" ht="12.75">
      <c r="D1371" s="30"/>
    </row>
    <row r="1372" ht="12.75">
      <c r="D1372" s="30"/>
    </row>
    <row r="1373" ht="12.75">
      <c r="D1373" s="30"/>
    </row>
    <row r="1374" ht="12.75">
      <c r="D1374" s="30"/>
    </row>
    <row r="1375" ht="12.75">
      <c r="D1375" s="30"/>
    </row>
    <row r="1376" ht="12.75">
      <c r="D1376" s="30"/>
    </row>
    <row r="1377" ht="12.75">
      <c r="D1377" s="30"/>
    </row>
    <row r="1378" ht="12.75">
      <c r="D1378" s="30"/>
    </row>
    <row r="1379" ht="12.75">
      <c r="D1379" s="30"/>
    </row>
    <row r="1380" ht="12.75">
      <c r="D1380" s="30"/>
    </row>
    <row r="1381" ht="12.75">
      <c r="D1381" s="30"/>
    </row>
    <row r="1382" ht="12.75">
      <c r="D1382" s="30"/>
    </row>
    <row r="1383" ht="12.75">
      <c r="D1383" s="30"/>
    </row>
    <row r="1384" ht="12.75">
      <c r="D1384" s="30"/>
    </row>
    <row r="1385" ht="12.75">
      <c r="D1385" s="30"/>
    </row>
    <row r="1386" ht="12.75">
      <c r="D1386" s="30"/>
    </row>
    <row r="1387" ht="12.75">
      <c r="D1387" s="30"/>
    </row>
    <row r="1388" ht="12.75">
      <c r="D1388" s="30"/>
    </row>
    <row r="1389" ht="12.75">
      <c r="D1389" s="30"/>
    </row>
    <row r="1390" ht="12.75">
      <c r="D1390" s="30"/>
    </row>
    <row r="1391" ht="12.75">
      <c r="D1391" s="30"/>
    </row>
    <row r="1392" ht="12.75">
      <c r="D1392" s="30"/>
    </row>
    <row r="1393" ht="12.75">
      <c r="D1393" s="30"/>
    </row>
    <row r="1394" ht="12.75">
      <c r="D1394" s="30"/>
    </row>
    <row r="1395" ht="12.75">
      <c r="D1395" s="30"/>
    </row>
    <row r="1396" ht="12.75">
      <c r="D1396" s="30"/>
    </row>
    <row r="1397" ht="12.75">
      <c r="D1397" s="30"/>
    </row>
    <row r="1398" ht="12.75">
      <c r="D1398" s="30"/>
    </row>
    <row r="1399" ht="12.75">
      <c r="D1399" s="30"/>
    </row>
    <row r="1400" ht="12.75">
      <c r="D1400" s="30"/>
    </row>
    <row r="1401" ht="12.75">
      <c r="D1401" s="30"/>
    </row>
    <row r="1402" ht="12.75">
      <c r="D1402" s="30"/>
    </row>
    <row r="1403" ht="12.75">
      <c r="D1403" s="30"/>
    </row>
    <row r="1404" ht="12.75">
      <c r="D1404" s="30"/>
    </row>
    <row r="1405" ht="12.75">
      <c r="D1405" s="30"/>
    </row>
    <row r="1406" ht="12.75">
      <c r="D1406" s="30"/>
    </row>
    <row r="1407" ht="12.75">
      <c r="D1407" s="30"/>
    </row>
    <row r="1408" ht="12.75">
      <c r="D1408" s="30"/>
    </row>
    <row r="1409" ht="12.75">
      <c r="D1409" s="30"/>
    </row>
    <row r="1410" ht="12.75">
      <c r="D1410" s="30"/>
    </row>
    <row r="1411" ht="12.75">
      <c r="D1411" s="30"/>
    </row>
    <row r="1412" ht="12.75">
      <c r="D1412" s="30"/>
    </row>
    <row r="1413" ht="12.75">
      <c r="D1413" s="30"/>
    </row>
    <row r="1414" ht="12.75">
      <c r="D1414" s="30"/>
    </row>
    <row r="1415" ht="12.75">
      <c r="D1415" s="30"/>
    </row>
    <row r="1416" ht="12.75">
      <c r="D1416" s="30"/>
    </row>
    <row r="1417" ht="12.75">
      <c r="D1417" s="30"/>
    </row>
    <row r="1418" ht="12.75">
      <c r="D1418" s="30"/>
    </row>
    <row r="1419" ht="12.75">
      <c r="D1419" s="30"/>
    </row>
    <row r="1420" ht="12.75">
      <c r="D1420" s="30"/>
    </row>
    <row r="1421" ht="12.75">
      <c r="D1421" s="30"/>
    </row>
    <row r="1422" ht="12.75">
      <c r="D1422" s="30"/>
    </row>
    <row r="1423" ht="12.75">
      <c r="D1423" s="30"/>
    </row>
    <row r="1424" ht="12.75">
      <c r="D1424" s="30"/>
    </row>
    <row r="1425" ht="12.75">
      <c r="D1425" s="30"/>
    </row>
    <row r="1426" ht="12.75">
      <c r="D1426" s="30"/>
    </row>
    <row r="1427" ht="12.75">
      <c r="D1427" s="30"/>
    </row>
    <row r="1428" ht="12.75">
      <c r="D1428" s="30"/>
    </row>
    <row r="1429" ht="12.75">
      <c r="D1429" s="30"/>
    </row>
    <row r="1430" ht="12.75">
      <c r="D1430" s="30"/>
    </row>
    <row r="1431" ht="12.75">
      <c r="D1431" s="30"/>
    </row>
    <row r="1432" ht="12.75">
      <c r="D1432" s="30"/>
    </row>
    <row r="1433" ht="12.75">
      <c r="D1433" s="30"/>
    </row>
    <row r="1434" ht="12.75">
      <c r="D1434" s="30"/>
    </row>
    <row r="1435" ht="12.75">
      <c r="D1435" s="30"/>
    </row>
    <row r="1436" ht="12.75">
      <c r="D1436" s="30"/>
    </row>
    <row r="1437" ht="12.75">
      <c r="D1437" s="30"/>
    </row>
    <row r="1438" ht="12.75">
      <c r="D1438" s="30"/>
    </row>
    <row r="1439" ht="12.75">
      <c r="D1439" s="30"/>
    </row>
    <row r="1440" ht="12.75">
      <c r="D1440" s="30"/>
    </row>
    <row r="1441" ht="12.75">
      <c r="D1441" s="30"/>
    </row>
    <row r="1442" ht="12.75">
      <c r="D1442" s="30"/>
    </row>
    <row r="1443" ht="12.75">
      <c r="D1443" s="30"/>
    </row>
    <row r="1444" ht="12.75">
      <c r="D1444" s="30"/>
    </row>
    <row r="1445" ht="12.75">
      <c r="D1445" s="30"/>
    </row>
    <row r="1446" ht="12.75">
      <c r="D1446" s="30"/>
    </row>
    <row r="1447" ht="12.75">
      <c r="D1447" s="30"/>
    </row>
    <row r="1448" ht="12.75">
      <c r="D1448" s="30"/>
    </row>
    <row r="1449" ht="12.75">
      <c r="D1449" s="30"/>
    </row>
    <row r="1450" ht="12.75">
      <c r="D1450" s="30"/>
    </row>
    <row r="1451" ht="12.75">
      <c r="D1451" s="30"/>
    </row>
    <row r="1452" ht="12.75">
      <c r="D1452" s="30"/>
    </row>
    <row r="1453" ht="12.75">
      <c r="D1453" s="30"/>
    </row>
    <row r="1454" ht="12.75">
      <c r="D1454" s="30"/>
    </row>
    <row r="1455" ht="12.75">
      <c r="D1455" s="30"/>
    </row>
    <row r="1456" ht="12.75">
      <c r="D1456" s="30"/>
    </row>
    <row r="1457" ht="12.75">
      <c r="D1457" s="30"/>
    </row>
    <row r="1458" ht="12.75">
      <c r="D1458" s="30"/>
    </row>
    <row r="1459" ht="12.75">
      <c r="D1459" s="30"/>
    </row>
    <row r="1460" ht="12.75">
      <c r="D1460" s="30"/>
    </row>
    <row r="1461" ht="12.75">
      <c r="D1461" s="30"/>
    </row>
    <row r="1462" ht="12.75">
      <c r="D1462" s="30"/>
    </row>
    <row r="1463" ht="12.75">
      <c r="D1463" s="30"/>
    </row>
    <row r="1464" ht="12.75">
      <c r="D1464" s="30"/>
    </row>
    <row r="1465" ht="12.75">
      <c r="D1465" s="30"/>
    </row>
    <row r="1466" ht="12.75">
      <c r="D1466" s="30"/>
    </row>
    <row r="1467" ht="12.75">
      <c r="D1467" s="30"/>
    </row>
    <row r="1468" ht="12.75">
      <c r="D1468" s="30"/>
    </row>
    <row r="1469" ht="12.75">
      <c r="D1469" s="30"/>
    </row>
    <row r="1470" ht="12.75">
      <c r="D1470" s="30"/>
    </row>
    <row r="1471" ht="12.75">
      <c r="D1471" s="30"/>
    </row>
    <row r="1472" ht="12.75">
      <c r="D1472" s="30"/>
    </row>
    <row r="1473" ht="12.75">
      <c r="D1473" s="30"/>
    </row>
    <row r="1474" ht="12.75">
      <c r="D1474" s="30"/>
    </row>
    <row r="1475" ht="12.75">
      <c r="D1475" s="30"/>
    </row>
    <row r="1476" ht="12.75">
      <c r="D1476" s="30"/>
    </row>
    <row r="1477" ht="12.75">
      <c r="D1477" s="30"/>
    </row>
    <row r="1478" ht="12.75">
      <c r="D1478" s="30"/>
    </row>
    <row r="1479" ht="12.75">
      <c r="D1479" s="30"/>
    </row>
    <row r="1480" ht="12.75">
      <c r="D1480" s="30"/>
    </row>
    <row r="1481" ht="12.75">
      <c r="D1481" s="30"/>
    </row>
    <row r="1482" ht="12.75">
      <c r="D1482" s="30"/>
    </row>
    <row r="1483" ht="12.75">
      <c r="D1483" s="30"/>
    </row>
    <row r="1484" ht="12.75">
      <c r="D1484" s="30"/>
    </row>
    <row r="1485" ht="12.75">
      <c r="D1485" s="30"/>
    </row>
    <row r="1486" ht="12.75">
      <c r="D1486" s="30"/>
    </row>
    <row r="1487" ht="12.75">
      <c r="D1487" s="30"/>
    </row>
    <row r="1488" ht="12.75">
      <c r="D1488" s="30"/>
    </row>
    <row r="1489" ht="12.75">
      <c r="D1489" s="30"/>
    </row>
    <row r="1490" ht="12.75">
      <c r="D1490" s="30"/>
    </row>
    <row r="1491" ht="12.75">
      <c r="D1491" s="30"/>
    </row>
    <row r="1492" ht="12.75">
      <c r="D1492" s="30"/>
    </row>
    <row r="1493" ht="12.75">
      <c r="D1493" s="30"/>
    </row>
    <row r="1494" ht="12.75">
      <c r="D1494" s="30"/>
    </row>
    <row r="1495" ht="12.75">
      <c r="D1495" s="30"/>
    </row>
    <row r="1496" ht="12.75">
      <c r="D1496" s="30"/>
    </row>
    <row r="1497" ht="12.75">
      <c r="D1497" s="30"/>
    </row>
    <row r="1498" ht="12.75">
      <c r="D1498" s="30"/>
    </row>
    <row r="1499" ht="12.75">
      <c r="D1499" s="30"/>
    </row>
    <row r="1500" ht="12.75">
      <c r="D1500" s="30"/>
    </row>
    <row r="1501" ht="12.75">
      <c r="D1501" s="30"/>
    </row>
    <row r="1502" ht="12.75">
      <c r="D1502" s="30"/>
    </row>
    <row r="1503" ht="12.75">
      <c r="D1503" s="30"/>
    </row>
    <row r="1504" ht="12.75">
      <c r="D1504" s="30"/>
    </row>
    <row r="1505" ht="12.75">
      <c r="D1505" s="30"/>
    </row>
    <row r="1506" ht="12.75">
      <c r="D1506" s="30"/>
    </row>
    <row r="1507" ht="12.75">
      <c r="D1507" s="30"/>
    </row>
    <row r="1508" ht="12.75">
      <c r="D1508" s="30"/>
    </row>
    <row r="1509" ht="12.75">
      <c r="D1509" s="30"/>
    </row>
    <row r="1510" ht="12.75">
      <c r="D1510" s="30"/>
    </row>
    <row r="1511" ht="12.75">
      <c r="D1511" s="30"/>
    </row>
    <row r="1512" ht="12.75">
      <c r="D1512" s="30"/>
    </row>
    <row r="1513" ht="12.75">
      <c r="D1513" s="30"/>
    </row>
    <row r="1514" ht="12.75">
      <c r="D1514" s="30"/>
    </row>
    <row r="1515" ht="12.75">
      <c r="D1515" s="30"/>
    </row>
    <row r="1516" ht="12.75">
      <c r="D1516" s="30"/>
    </row>
    <row r="1517" ht="12.75">
      <c r="D1517" s="30"/>
    </row>
    <row r="1518" ht="12.75">
      <c r="D1518" s="30"/>
    </row>
    <row r="1519" ht="12.75">
      <c r="D1519" s="30"/>
    </row>
    <row r="1520" ht="12.75">
      <c r="D1520" s="30"/>
    </row>
    <row r="1521" ht="12.75">
      <c r="D1521" s="30"/>
    </row>
    <row r="1522" ht="12.75">
      <c r="D1522" s="30"/>
    </row>
    <row r="1523" ht="12.75">
      <c r="D1523" s="30"/>
    </row>
    <row r="1524" ht="12.75">
      <c r="D1524" s="30"/>
    </row>
    <row r="1525" ht="12.75">
      <c r="D1525" s="30"/>
    </row>
    <row r="1526" ht="12.75">
      <c r="D1526" s="30"/>
    </row>
    <row r="1527" ht="12.75">
      <c r="D1527" s="30"/>
    </row>
    <row r="1528" ht="12.75">
      <c r="D1528" s="30"/>
    </row>
    <row r="1529" ht="12.75">
      <c r="D1529" s="30"/>
    </row>
    <row r="1530" ht="12.75">
      <c r="D1530" s="30"/>
    </row>
    <row r="1531" ht="12.75">
      <c r="D1531" s="30"/>
    </row>
    <row r="1532" ht="12.75">
      <c r="D1532" s="30"/>
    </row>
    <row r="1533" ht="12.75">
      <c r="D1533" s="30"/>
    </row>
    <row r="1534" ht="12.75">
      <c r="D1534" s="30"/>
    </row>
    <row r="1535" ht="12.75">
      <c r="D1535" s="30"/>
    </row>
    <row r="1536" ht="12.75">
      <c r="D1536" s="30"/>
    </row>
    <row r="1537" ht="12.75">
      <c r="D1537" s="30"/>
    </row>
    <row r="1538" ht="12.75">
      <c r="D1538" s="30"/>
    </row>
    <row r="1539" ht="12.75">
      <c r="D1539" s="30"/>
    </row>
    <row r="1540" ht="12.75">
      <c r="D1540" s="30"/>
    </row>
    <row r="1541" ht="12.75">
      <c r="D1541" s="30"/>
    </row>
    <row r="1542" ht="12.75">
      <c r="D1542" s="30"/>
    </row>
    <row r="1543" ht="12.75">
      <c r="D1543" s="30"/>
    </row>
    <row r="1544" ht="12.75">
      <c r="D1544" s="30"/>
    </row>
    <row r="1545" ht="12.75">
      <c r="D1545" s="30"/>
    </row>
    <row r="1546" ht="12.75">
      <c r="D1546" s="30"/>
    </row>
    <row r="1547" ht="12.75">
      <c r="D1547" s="30"/>
    </row>
    <row r="1548" ht="12.75">
      <c r="D1548" s="30"/>
    </row>
    <row r="1549" ht="12.75">
      <c r="D1549" s="30"/>
    </row>
    <row r="1550" ht="12.75">
      <c r="D1550" s="30"/>
    </row>
    <row r="1551" ht="12.75">
      <c r="D1551" s="30"/>
    </row>
    <row r="1552" ht="12.75">
      <c r="D1552" s="30"/>
    </row>
    <row r="1553" ht="12.75">
      <c r="D1553" s="30"/>
    </row>
    <row r="1554" ht="12.75">
      <c r="D1554" s="30"/>
    </row>
    <row r="1555" ht="12.75">
      <c r="D1555" s="30"/>
    </row>
    <row r="1556" ht="12.75">
      <c r="D1556" s="30"/>
    </row>
    <row r="1557" ht="12.75">
      <c r="D1557" s="30"/>
    </row>
    <row r="1558" ht="12.75">
      <c r="D1558" s="30"/>
    </row>
    <row r="1559" ht="12.75">
      <c r="D1559" s="30"/>
    </row>
    <row r="1560" ht="12.75">
      <c r="D1560" s="30"/>
    </row>
    <row r="1561" ht="12.75">
      <c r="D1561" s="30"/>
    </row>
    <row r="1562" ht="12.75">
      <c r="D1562" s="30"/>
    </row>
    <row r="1563" ht="12.75">
      <c r="D1563" s="30"/>
    </row>
    <row r="1564" ht="12.75">
      <c r="D1564" s="30"/>
    </row>
    <row r="1565" ht="12.75">
      <c r="D1565" s="30"/>
    </row>
    <row r="1566" ht="12.75">
      <c r="D1566" s="30"/>
    </row>
    <row r="1567" ht="12.75">
      <c r="D1567" s="30"/>
    </row>
    <row r="1568" ht="12.75">
      <c r="D1568" s="30"/>
    </row>
    <row r="1569" ht="12.75">
      <c r="D1569" s="30"/>
    </row>
    <row r="1570" ht="12.75">
      <c r="D1570" s="30"/>
    </row>
    <row r="1571" ht="12.75">
      <c r="D1571" s="30"/>
    </row>
    <row r="1572" ht="12.75">
      <c r="D1572" s="30"/>
    </row>
    <row r="1573" ht="12.75">
      <c r="D1573" s="30"/>
    </row>
    <row r="1574" ht="12.75">
      <c r="D1574" s="30"/>
    </row>
    <row r="1575" ht="12.75">
      <c r="D1575" s="30"/>
    </row>
    <row r="1576" ht="12.75">
      <c r="D1576" s="30"/>
    </row>
    <row r="1577" ht="12.75">
      <c r="D1577" s="30"/>
    </row>
    <row r="1578" ht="12.75">
      <c r="D1578" s="30"/>
    </row>
    <row r="1579" ht="12.75">
      <c r="D1579" s="30"/>
    </row>
    <row r="1580" ht="12.75">
      <c r="D1580" s="30"/>
    </row>
    <row r="1581" ht="12.75">
      <c r="D1581" s="30"/>
    </row>
    <row r="1582" ht="12.75">
      <c r="D1582" s="30"/>
    </row>
    <row r="1583" ht="12.75">
      <c r="D1583" s="30"/>
    </row>
    <row r="1584" ht="12.75">
      <c r="D1584" s="30"/>
    </row>
    <row r="1585" ht="12.75">
      <c r="D1585" s="30"/>
    </row>
    <row r="1586" ht="12.75">
      <c r="D1586" s="30"/>
    </row>
    <row r="1587" ht="12.75">
      <c r="D1587" s="30"/>
    </row>
    <row r="1588" ht="12.75">
      <c r="D1588" s="30"/>
    </row>
    <row r="1589" ht="12.75">
      <c r="D1589" s="30"/>
    </row>
    <row r="1590" ht="12.75">
      <c r="D1590" s="30"/>
    </row>
    <row r="1591" ht="12.75">
      <c r="D1591" s="30"/>
    </row>
    <row r="1592" ht="12.75">
      <c r="D1592" s="30"/>
    </row>
    <row r="1593" ht="12.75">
      <c r="D1593" s="30"/>
    </row>
    <row r="1594" ht="12.75">
      <c r="D1594" s="30"/>
    </row>
    <row r="1595" ht="12.75">
      <c r="D1595" s="30"/>
    </row>
    <row r="1596" ht="12.75">
      <c r="D1596" s="30"/>
    </row>
    <row r="1597" ht="12.75">
      <c r="D1597" s="30"/>
    </row>
    <row r="1598" ht="12.75">
      <c r="D1598" s="30"/>
    </row>
    <row r="1599" ht="12.75">
      <c r="D1599" s="30"/>
    </row>
    <row r="1600" ht="12.75">
      <c r="D1600" s="30"/>
    </row>
    <row r="1601" ht="12.75">
      <c r="D1601" s="30"/>
    </row>
    <row r="1602" ht="12.75">
      <c r="D1602" s="30"/>
    </row>
    <row r="1603" ht="12.75">
      <c r="D1603" s="30"/>
    </row>
    <row r="1604" ht="12.75">
      <c r="D1604" s="30"/>
    </row>
    <row r="1605" ht="12.75">
      <c r="D1605" s="30"/>
    </row>
    <row r="1606" ht="12.75">
      <c r="D1606" s="30"/>
    </row>
    <row r="1607" ht="12.75">
      <c r="D1607" s="30"/>
    </row>
    <row r="1608" ht="12.75">
      <c r="D1608" s="30"/>
    </row>
    <row r="1609" ht="12.75">
      <c r="D1609" s="30"/>
    </row>
    <row r="1610" ht="12.75">
      <c r="D1610" s="30"/>
    </row>
    <row r="1611" ht="12.75">
      <c r="D1611" s="30"/>
    </row>
    <row r="1612" ht="12.75">
      <c r="D1612" s="30"/>
    </row>
    <row r="1613" ht="12.75">
      <c r="D1613" s="30"/>
    </row>
    <row r="1614" ht="12.75">
      <c r="D1614" s="30"/>
    </row>
    <row r="1615" ht="12.75">
      <c r="D1615" s="30"/>
    </row>
    <row r="1616" ht="12.75">
      <c r="D1616" s="30"/>
    </row>
    <row r="1617" ht="12.75">
      <c r="D1617" s="30"/>
    </row>
    <row r="1618" ht="12.75">
      <c r="D1618" s="30"/>
    </row>
    <row r="1619" ht="12.75">
      <c r="D1619" s="30"/>
    </row>
    <row r="1620" ht="12.75">
      <c r="D1620" s="30"/>
    </row>
    <row r="1621" ht="12.75">
      <c r="D1621" s="30"/>
    </row>
    <row r="1622" ht="12.75">
      <c r="D1622" s="30"/>
    </row>
    <row r="1623" ht="12.75">
      <c r="D1623" s="30"/>
    </row>
    <row r="1624" ht="12.75">
      <c r="D1624" s="30"/>
    </row>
    <row r="1625" ht="12.75">
      <c r="D1625" s="30"/>
    </row>
    <row r="1626" ht="12.75">
      <c r="D1626" s="30"/>
    </row>
    <row r="1627" ht="12.75">
      <c r="D1627" s="30"/>
    </row>
    <row r="1628" ht="12.75">
      <c r="D1628" s="30"/>
    </row>
    <row r="1629" ht="12.75">
      <c r="D1629" s="30"/>
    </row>
    <row r="1630" ht="12.75">
      <c r="D1630" s="30"/>
    </row>
    <row r="1631" ht="12.75">
      <c r="D1631" s="30"/>
    </row>
    <row r="1632" ht="12.75">
      <c r="D1632" s="30"/>
    </row>
    <row r="1633" ht="12.75">
      <c r="D1633" s="30"/>
    </row>
    <row r="1634" ht="12.75">
      <c r="D1634" s="30"/>
    </row>
    <row r="1635" ht="12.75">
      <c r="D1635" s="30"/>
    </row>
    <row r="1636" ht="12.75">
      <c r="D1636" s="30"/>
    </row>
    <row r="1637" ht="12.75">
      <c r="D1637" s="30"/>
    </row>
    <row r="1638" ht="12.75">
      <c r="D1638" s="30"/>
    </row>
    <row r="1639" ht="12.75">
      <c r="D1639" s="30"/>
    </row>
    <row r="1640" ht="12.75">
      <c r="D1640" s="30"/>
    </row>
    <row r="1641" ht="12.75">
      <c r="D1641" s="30"/>
    </row>
    <row r="1642" ht="12.75">
      <c r="D1642" s="30"/>
    </row>
    <row r="1643" ht="12.75">
      <c r="D1643" s="30"/>
    </row>
    <row r="1644" ht="12.75">
      <c r="D1644" s="30"/>
    </row>
    <row r="1645" ht="12.75">
      <c r="D1645" s="30"/>
    </row>
    <row r="1646" ht="12.75">
      <c r="D1646" s="30"/>
    </row>
    <row r="1647" ht="12.75">
      <c r="D1647" s="30"/>
    </row>
    <row r="1648" ht="12.75">
      <c r="D1648" s="30"/>
    </row>
    <row r="1649" ht="12.75">
      <c r="D1649" s="30"/>
    </row>
    <row r="1650" ht="12.75">
      <c r="D1650" s="30"/>
    </row>
    <row r="1651" ht="12.75">
      <c r="D1651" s="30"/>
    </row>
    <row r="1652" ht="12.75">
      <c r="D1652" s="30"/>
    </row>
    <row r="1653" ht="12.75">
      <c r="D1653" s="30"/>
    </row>
    <row r="1654" ht="12.75">
      <c r="D1654" s="30"/>
    </row>
    <row r="1655" ht="12.75">
      <c r="D1655" s="30"/>
    </row>
    <row r="1656" ht="12.75">
      <c r="D1656" s="30"/>
    </row>
    <row r="1657" ht="12.75">
      <c r="D1657" s="30"/>
    </row>
    <row r="1658" ht="12.75">
      <c r="D1658" s="30"/>
    </row>
    <row r="1659" ht="12.75">
      <c r="D1659" s="30"/>
    </row>
    <row r="1660" ht="12.75">
      <c r="D1660" s="30"/>
    </row>
    <row r="1661" ht="12.75">
      <c r="D1661" s="30"/>
    </row>
    <row r="1662" ht="12.75">
      <c r="D1662" s="30"/>
    </row>
    <row r="1663" ht="12.75">
      <c r="D1663" s="30"/>
    </row>
    <row r="1664" ht="12.75">
      <c r="D1664" s="30"/>
    </row>
    <row r="1665" ht="12.75">
      <c r="D1665" s="30"/>
    </row>
    <row r="1666" ht="12.75">
      <c r="D1666" s="30"/>
    </row>
    <row r="1667" ht="12.75">
      <c r="D1667" s="30"/>
    </row>
    <row r="1668" ht="12.75">
      <c r="D1668" s="30"/>
    </row>
    <row r="1669" ht="12.75">
      <c r="D1669" s="30"/>
    </row>
    <row r="1670" ht="12.75">
      <c r="D1670" s="30"/>
    </row>
    <row r="1671" ht="12.75">
      <c r="D1671" s="30"/>
    </row>
    <row r="1672" ht="12.75">
      <c r="D1672" s="30"/>
    </row>
    <row r="1673" ht="12.75">
      <c r="D1673" s="30"/>
    </row>
    <row r="1674" ht="12.75">
      <c r="D1674" s="30"/>
    </row>
    <row r="1675" ht="12.75">
      <c r="D1675" s="30"/>
    </row>
    <row r="1676" ht="12.75">
      <c r="D1676" s="30"/>
    </row>
    <row r="1677" ht="12.75">
      <c r="D1677" s="30"/>
    </row>
    <row r="1678" ht="12.75">
      <c r="D1678" s="30"/>
    </row>
    <row r="1679" ht="12.75">
      <c r="D1679" s="30"/>
    </row>
    <row r="1680" ht="12.75">
      <c r="D1680" s="30"/>
    </row>
    <row r="1681" ht="12.75">
      <c r="D1681" s="30"/>
    </row>
    <row r="1682" ht="12.75">
      <c r="D1682" s="30"/>
    </row>
    <row r="1683" ht="12.75">
      <c r="D1683" s="30"/>
    </row>
    <row r="1684" ht="12.75">
      <c r="D1684" s="30"/>
    </row>
    <row r="1685" ht="12.75">
      <c r="D1685" s="30"/>
    </row>
    <row r="1686" ht="12.75">
      <c r="D1686" s="30"/>
    </row>
    <row r="1687" ht="12.75">
      <c r="D1687" s="30"/>
    </row>
    <row r="1688" ht="12.75">
      <c r="D1688" s="30"/>
    </row>
    <row r="1689" ht="12.75">
      <c r="D1689" s="30"/>
    </row>
    <row r="1690" ht="12.75">
      <c r="D1690" s="30"/>
    </row>
    <row r="1691" ht="12.75">
      <c r="D1691" s="30"/>
    </row>
    <row r="1692" ht="12.75">
      <c r="D1692" s="30"/>
    </row>
    <row r="1693" ht="12.75">
      <c r="D1693" s="30"/>
    </row>
    <row r="1694" ht="12.75">
      <c r="D1694" s="30"/>
    </row>
    <row r="1695" ht="12.75">
      <c r="D1695" s="30"/>
    </row>
    <row r="1696" ht="12.75">
      <c r="D1696" s="30"/>
    </row>
    <row r="1697" ht="12.75">
      <c r="D1697" s="30"/>
    </row>
    <row r="1698" ht="12.75">
      <c r="D1698" s="30"/>
    </row>
    <row r="1699" ht="12.75">
      <c r="D1699" s="30"/>
    </row>
    <row r="1700" ht="12.75">
      <c r="D1700" s="30"/>
    </row>
    <row r="1701" ht="12.75">
      <c r="D1701" s="30"/>
    </row>
    <row r="1702" ht="12.75">
      <c r="D1702" s="30"/>
    </row>
    <row r="1703" ht="12.75">
      <c r="D1703" s="30"/>
    </row>
    <row r="1704" ht="12.75">
      <c r="D1704" s="30"/>
    </row>
    <row r="1705" ht="12.75">
      <c r="D1705" s="30"/>
    </row>
    <row r="1706" ht="12.75">
      <c r="D1706" s="30"/>
    </row>
    <row r="1707" ht="12.75">
      <c r="D1707" s="30"/>
    </row>
    <row r="1708" ht="12.75">
      <c r="D1708" s="30"/>
    </row>
    <row r="1709" ht="12.75">
      <c r="D1709" s="30"/>
    </row>
    <row r="1710" ht="12.75">
      <c r="D1710" s="30"/>
    </row>
    <row r="1711" ht="12.75">
      <c r="D1711" s="30"/>
    </row>
    <row r="1712" ht="12.75">
      <c r="D1712" s="30"/>
    </row>
    <row r="1713" ht="12.75">
      <c r="D1713" s="30"/>
    </row>
    <row r="1714" ht="12.75">
      <c r="D1714" s="30"/>
    </row>
    <row r="1715" ht="12.75">
      <c r="D1715" s="30"/>
    </row>
    <row r="1716" ht="12.75">
      <c r="D1716" s="30"/>
    </row>
    <row r="1717" ht="12.75">
      <c r="D1717" s="30"/>
    </row>
    <row r="1718" ht="12.75">
      <c r="D1718" s="30"/>
    </row>
    <row r="1719" ht="12.75">
      <c r="D1719" s="30"/>
    </row>
    <row r="1720" ht="12.75">
      <c r="D1720" s="30"/>
    </row>
    <row r="1721" ht="12.75">
      <c r="D1721" s="30"/>
    </row>
    <row r="1722" ht="12.75">
      <c r="D1722" s="30"/>
    </row>
    <row r="1723" ht="12.75">
      <c r="D1723" s="30"/>
    </row>
    <row r="1724" ht="12.75">
      <c r="D1724" s="30"/>
    </row>
    <row r="1725" ht="12.75">
      <c r="D1725" s="30"/>
    </row>
    <row r="1726" ht="12.75">
      <c r="D1726" s="30"/>
    </row>
    <row r="1727" ht="12.75">
      <c r="D1727" s="30"/>
    </row>
    <row r="1728" ht="12.75">
      <c r="D1728" s="30"/>
    </row>
    <row r="1729" ht="12.75">
      <c r="D1729" s="30"/>
    </row>
    <row r="1730" ht="12.75">
      <c r="D1730" s="30"/>
    </row>
    <row r="1731" ht="12.75">
      <c r="D1731" s="30"/>
    </row>
    <row r="1732" ht="12.75">
      <c r="D1732" s="30"/>
    </row>
    <row r="1733" ht="12.75">
      <c r="D1733" s="30"/>
    </row>
    <row r="1734" ht="12.75">
      <c r="D1734" s="30"/>
    </row>
    <row r="1735" ht="12.75">
      <c r="D1735" s="30"/>
    </row>
    <row r="1736" ht="12.75">
      <c r="D1736" s="30"/>
    </row>
    <row r="1737" ht="12.75">
      <c r="D1737" s="30"/>
    </row>
    <row r="1738" ht="12.75">
      <c r="D1738" s="30"/>
    </row>
    <row r="1739" ht="12.75">
      <c r="D1739" s="30"/>
    </row>
    <row r="1740" ht="12.75">
      <c r="D1740" s="30"/>
    </row>
    <row r="1741" ht="12.75">
      <c r="D1741" s="30"/>
    </row>
    <row r="1742" ht="12.75">
      <c r="D1742" s="30"/>
    </row>
    <row r="1743" ht="12.75">
      <c r="D1743" s="30"/>
    </row>
    <row r="1744" ht="12.75">
      <c r="D1744" s="30"/>
    </row>
    <row r="1745" ht="12.75">
      <c r="D1745" s="30"/>
    </row>
    <row r="1746" ht="12.75">
      <c r="D1746" s="30"/>
    </row>
    <row r="1747" ht="12.75">
      <c r="D1747" s="30"/>
    </row>
    <row r="1748" ht="12.75">
      <c r="D1748" s="30"/>
    </row>
    <row r="1749" ht="12.75">
      <c r="D1749" s="30"/>
    </row>
    <row r="1750" ht="12.75">
      <c r="D1750" s="30"/>
    </row>
    <row r="1751" ht="12.75">
      <c r="D1751" s="30"/>
    </row>
    <row r="1752" ht="12.75">
      <c r="D1752" s="30"/>
    </row>
    <row r="1753" ht="12.75">
      <c r="D1753" s="30"/>
    </row>
    <row r="1754" ht="12.75">
      <c r="D1754" s="30"/>
    </row>
    <row r="1755" ht="12.75">
      <c r="D1755" s="30"/>
    </row>
    <row r="1756" ht="12.75">
      <c r="D1756" s="30"/>
    </row>
    <row r="1757" ht="12.75">
      <c r="D1757" s="30"/>
    </row>
    <row r="1758" ht="12.75">
      <c r="D1758" s="30"/>
    </row>
    <row r="1759" ht="12.75">
      <c r="D1759" s="30"/>
    </row>
    <row r="1760" ht="12.75">
      <c r="D1760" s="30"/>
    </row>
    <row r="1761" ht="12.75">
      <c r="D1761" s="30"/>
    </row>
    <row r="1762" ht="12.75">
      <c r="D1762" s="30"/>
    </row>
    <row r="1763" ht="12.75">
      <c r="D1763" s="30"/>
    </row>
    <row r="1764" ht="12.75">
      <c r="D1764" s="30"/>
    </row>
    <row r="1765" ht="12.75">
      <c r="D1765" s="30"/>
    </row>
    <row r="1766" ht="12.75">
      <c r="D1766" s="30"/>
    </row>
    <row r="1767" ht="12.75">
      <c r="D1767" s="30"/>
    </row>
    <row r="1768" ht="12.75">
      <c r="D1768" s="30"/>
    </row>
    <row r="1769" ht="12.75">
      <c r="D1769" s="30"/>
    </row>
    <row r="1770" ht="12.75">
      <c r="D1770" s="30"/>
    </row>
    <row r="1771" ht="12.75">
      <c r="D1771" s="30"/>
    </row>
    <row r="1772" ht="12.75">
      <c r="D1772" s="30"/>
    </row>
    <row r="1773" ht="12.75">
      <c r="D1773" s="30"/>
    </row>
    <row r="1774" ht="12.75">
      <c r="D1774" s="30"/>
    </row>
    <row r="1775" ht="12.75">
      <c r="D1775" s="30"/>
    </row>
    <row r="1776" ht="12.75">
      <c r="D1776" s="30"/>
    </row>
    <row r="1777" ht="12.75">
      <c r="D1777" s="30"/>
    </row>
    <row r="1778" ht="12.75">
      <c r="D1778" s="30"/>
    </row>
    <row r="1779" ht="12.75">
      <c r="D1779" s="30"/>
    </row>
    <row r="1780" ht="12.75">
      <c r="D1780" s="30"/>
    </row>
    <row r="1781" ht="12.75">
      <c r="D1781" s="30"/>
    </row>
    <row r="1782" ht="12.75">
      <c r="D1782" s="30"/>
    </row>
    <row r="1783" ht="12.75">
      <c r="D1783" s="30"/>
    </row>
    <row r="1784" ht="12.75">
      <c r="D1784" s="30"/>
    </row>
    <row r="1785" ht="12.75">
      <c r="D1785" s="30"/>
    </row>
    <row r="1786" ht="12.75">
      <c r="D1786" s="30"/>
    </row>
    <row r="1787" ht="12.75">
      <c r="D1787" s="30"/>
    </row>
    <row r="1788" ht="12.75">
      <c r="D1788" s="30"/>
    </row>
    <row r="1789" ht="12.75">
      <c r="D1789" s="30"/>
    </row>
    <row r="1790" ht="12.75">
      <c r="D1790" s="30"/>
    </row>
    <row r="1791" ht="12.75">
      <c r="D1791" s="30"/>
    </row>
    <row r="1792" ht="12.75">
      <c r="D1792" s="30"/>
    </row>
    <row r="1793" ht="12.75">
      <c r="D1793" s="30"/>
    </row>
    <row r="1794" ht="12.75">
      <c r="D1794" s="30"/>
    </row>
    <row r="1795" ht="12.75">
      <c r="D1795" s="30"/>
    </row>
    <row r="1796" ht="12.75">
      <c r="D1796" s="30"/>
    </row>
    <row r="1797" ht="12.75">
      <c r="D1797" s="30"/>
    </row>
    <row r="1798" ht="12.75">
      <c r="D1798" s="30"/>
    </row>
    <row r="1799" ht="12.75">
      <c r="D1799" s="30"/>
    </row>
    <row r="1800" ht="12.75">
      <c r="D1800" s="30"/>
    </row>
    <row r="1801" ht="12.75">
      <c r="D1801" s="30"/>
    </row>
    <row r="1802" ht="12.75">
      <c r="D1802" s="30"/>
    </row>
    <row r="1803" ht="12.75">
      <c r="D1803" s="30"/>
    </row>
    <row r="1804" ht="12.75">
      <c r="D1804" s="30"/>
    </row>
    <row r="1805" ht="12.75">
      <c r="D1805" s="30"/>
    </row>
    <row r="1806" ht="12.75">
      <c r="D1806" s="30"/>
    </row>
    <row r="1807" ht="12.75">
      <c r="D1807" s="30"/>
    </row>
    <row r="1808" ht="12.75">
      <c r="D1808" s="30"/>
    </row>
    <row r="1809" ht="12.75">
      <c r="D1809" s="30"/>
    </row>
    <row r="1810" ht="12.75">
      <c r="D1810" s="30"/>
    </row>
    <row r="1811" ht="12.75">
      <c r="D1811" s="30"/>
    </row>
    <row r="1812" ht="12.75">
      <c r="D1812" s="30"/>
    </row>
    <row r="1813" ht="12.75">
      <c r="D1813" s="30"/>
    </row>
    <row r="1814" ht="12.75">
      <c r="D1814" s="30"/>
    </row>
    <row r="1815" ht="12.75">
      <c r="D1815" s="30"/>
    </row>
    <row r="1816" ht="12.75">
      <c r="D1816" s="30"/>
    </row>
    <row r="1817" ht="12.75">
      <c r="D1817" s="30"/>
    </row>
    <row r="1818" ht="12.75">
      <c r="D1818" s="30"/>
    </row>
    <row r="1819" ht="12.75">
      <c r="D1819" s="30"/>
    </row>
    <row r="1820" ht="12.75">
      <c r="D1820" s="30"/>
    </row>
    <row r="1821" ht="12.75">
      <c r="D1821" s="30"/>
    </row>
    <row r="1822" ht="12.75">
      <c r="D1822" s="30"/>
    </row>
    <row r="1823" ht="12.75">
      <c r="D1823" s="30"/>
    </row>
    <row r="1824" ht="12.75">
      <c r="D1824" s="30"/>
    </row>
    <row r="1825" ht="12.75">
      <c r="D1825" s="30"/>
    </row>
    <row r="1826" ht="12.75">
      <c r="D1826" s="30"/>
    </row>
    <row r="1827" ht="12.75">
      <c r="D1827" s="30"/>
    </row>
    <row r="1828" ht="12.75">
      <c r="D1828" s="30"/>
    </row>
    <row r="1829" ht="12.75">
      <c r="D1829" s="30"/>
    </row>
    <row r="1830" ht="12.75">
      <c r="D1830" s="30"/>
    </row>
    <row r="1831" ht="12.75">
      <c r="D1831" s="30"/>
    </row>
    <row r="1832" ht="12.75">
      <c r="D1832" s="30"/>
    </row>
    <row r="1833" ht="12.75">
      <c r="D1833" s="30"/>
    </row>
    <row r="1834" ht="12.75">
      <c r="D1834" s="30"/>
    </row>
    <row r="1835" ht="12.75">
      <c r="D1835" s="30"/>
    </row>
    <row r="1836" ht="12.75">
      <c r="D1836" s="30"/>
    </row>
    <row r="1837" ht="12.75">
      <c r="D1837" s="30"/>
    </row>
    <row r="1838" ht="12.75">
      <c r="D1838" s="30"/>
    </row>
    <row r="1839" ht="12.75">
      <c r="D1839" s="30"/>
    </row>
    <row r="1840" ht="12.75">
      <c r="D1840" s="30"/>
    </row>
    <row r="1841" ht="12.75">
      <c r="D1841" s="30"/>
    </row>
    <row r="1842" ht="12.75">
      <c r="D1842" s="30"/>
    </row>
    <row r="1843" ht="12.75">
      <c r="D1843" s="30"/>
    </row>
    <row r="1844" ht="12.75">
      <c r="D1844" s="30"/>
    </row>
    <row r="1845" ht="12.75">
      <c r="D1845" s="30"/>
    </row>
    <row r="1846" ht="12.75">
      <c r="D1846" s="30"/>
    </row>
    <row r="1847" ht="12.75">
      <c r="D1847" s="30"/>
    </row>
    <row r="1848" ht="12.75">
      <c r="D1848" s="30"/>
    </row>
    <row r="1849" ht="12.75">
      <c r="D1849" s="30"/>
    </row>
    <row r="1850" ht="12.75">
      <c r="D1850" s="30"/>
    </row>
    <row r="1851" ht="12.75">
      <c r="D1851" s="30"/>
    </row>
    <row r="1852" ht="12.75">
      <c r="D1852" s="30"/>
    </row>
    <row r="1853" ht="12.75">
      <c r="D1853" s="30"/>
    </row>
    <row r="1854" ht="12.75">
      <c r="D1854" s="30"/>
    </row>
    <row r="1855" ht="12.75">
      <c r="D1855" s="30"/>
    </row>
    <row r="1856" ht="12.75">
      <c r="D1856" s="30"/>
    </row>
    <row r="1857" ht="12.75">
      <c r="D1857" s="30"/>
    </row>
    <row r="1858" ht="12.75">
      <c r="D1858" s="30"/>
    </row>
    <row r="1859" ht="12.75">
      <c r="D1859" s="30"/>
    </row>
    <row r="1860" ht="12.75">
      <c r="D1860" s="30"/>
    </row>
    <row r="1861" ht="12.75">
      <c r="D1861" s="30"/>
    </row>
    <row r="1862" ht="12.75">
      <c r="D1862" s="30"/>
    </row>
    <row r="1863" ht="12.75">
      <c r="D1863" s="30"/>
    </row>
    <row r="1864" ht="12.75">
      <c r="D1864" s="30"/>
    </row>
    <row r="1865" ht="12.75">
      <c r="D1865" s="30"/>
    </row>
    <row r="1866" ht="12.75">
      <c r="D1866" s="30"/>
    </row>
    <row r="1867" ht="12.75">
      <c r="D1867" s="30"/>
    </row>
    <row r="1868" ht="12.75">
      <c r="D1868" s="30"/>
    </row>
    <row r="1869" ht="12.75">
      <c r="D1869" s="30"/>
    </row>
    <row r="1870" ht="12.75">
      <c r="D1870" s="30"/>
    </row>
    <row r="1871" ht="12.75">
      <c r="D1871" s="30"/>
    </row>
    <row r="1872" ht="12.75">
      <c r="D1872" s="30"/>
    </row>
    <row r="1873" ht="12.75">
      <c r="D1873" s="30"/>
    </row>
    <row r="1874" ht="12.75">
      <c r="D1874" s="30"/>
    </row>
    <row r="1875" ht="12.75">
      <c r="D1875" s="30"/>
    </row>
    <row r="1876" ht="12.75">
      <c r="D1876" s="30"/>
    </row>
    <row r="1877" ht="12.75">
      <c r="D1877" s="30"/>
    </row>
    <row r="1878" ht="12.75">
      <c r="D1878" s="30"/>
    </row>
    <row r="1879" ht="12.75">
      <c r="D1879" s="30"/>
    </row>
    <row r="1880" ht="12.75">
      <c r="D1880" s="30"/>
    </row>
    <row r="1881" ht="12.75">
      <c r="D1881" s="30"/>
    </row>
    <row r="1882" ht="12.75">
      <c r="D1882" s="30"/>
    </row>
    <row r="1883" ht="12.75">
      <c r="D1883" s="30"/>
    </row>
    <row r="1884" ht="12.75">
      <c r="D1884" s="30"/>
    </row>
    <row r="1885" ht="12.75">
      <c r="D1885" s="30"/>
    </row>
    <row r="1886" ht="12.75">
      <c r="D1886" s="30"/>
    </row>
    <row r="1887" ht="12.75">
      <c r="D1887" s="30"/>
    </row>
    <row r="1888" ht="12.75">
      <c r="D1888" s="30"/>
    </row>
    <row r="1889" ht="12.75">
      <c r="D1889" s="30"/>
    </row>
    <row r="1890" ht="12.75">
      <c r="D1890" s="30"/>
    </row>
    <row r="1891" ht="12.75">
      <c r="D1891" s="30"/>
    </row>
    <row r="1892" ht="12.75">
      <c r="D1892" s="30"/>
    </row>
    <row r="1893" ht="12.75">
      <c r="D1893" s="30"/>
    </row>
    <row r="1894" ht="12.75">
      <c r="D1894" s="30"/>
    </row>
    <row r="1895" ht="12.75">
      <c r="D1895" s="30"/>
    </row>
    <row r="1896" ht="12.75">
      <c r="D1896" s="30"/>
    </row>
    <row r="1897" ht="12.75">
      <c r="D1897" s="30"/>
    </row>
    <row r="1898" ht="12.75">
      <c r="D1898" s="30"/>
    </row>
    <row r="1899" ht="12.75">
      <c r="D1899" s="30"/>
    </row>
    <row r="1900" ht="12.75">
      <c r="D1900" s="30"/>
    </row>
    <row r="1901" ht="12.75">
      <c r="D1901" s="30"/>
    </row>
    <row r="1902" ht="12.75">
      <c r="D1902" s="30"/>
    </row>
    <row r="1903" ht="12.75">
      <c r="D1903" s="30"/>
    </row>
    <row r="1904" ht="12.75">
      <c r="D1904" s="30"/>
    </row>
    <row r="1905" ht="12.75">
      <c r="D1905" s="30"/>
    </row>
    <row r="1906" ht="12.75">
      <c r="D1906" s="30"/>
    </row>
    <row r="1907" ht="12.75">
      <c r="D1907" s="30"/>
    </row>
    <row r="1908" ht="12.75">
      <c r="D1908" s="30"/>
    </row>
    <row r="1909" ht="12.75">
      <c r="D1909" s="30"/>
    </row>
    <row r="1910" ht="12.75">
      <c r="D1910" s="30"/>
    </row>
    <row r="1911" ht="12.75">
      <c r="D1911" s="30"/>
    </row>
    <row r="1912" ht="12.75">
      <c r="D1912" s="30"/>
    </row>
    <row r="1913" ht="12.75">
      <c r="D1913" s="30"/>
    </row>
    <row r="1914" ht="12.75">
      <c r="D1914" s="30"/>
    </row>
    <row r="1915" ht="12.75">
      <c r="D1915" s="30"/>
    </row>
    <row r="1916" ht="12.75">
      <c r="D1916" s="30"/>
    </row>
    <row r="1917" ht="12.75">
      <c r="D1917" s="30"/>
    </row>
    <row r="1918" ht="12.75">
      <c r="D1918" s="30"/>
    </row>
    <row r="1919" ht="12.75">
      <c r="D1919" s="30"/>
    </row>
    <row r="1920" ht="12.75">
      <c r="D1920" s="30"/>
    </row>
    <row r="1921" ht="12.75">
      <c r="D1921" s="30"/>
    </row>
    <row r="1922" ht="12.75">
      <c r="D1922" s="30"/>
    </row>
    <row r="1923" ht="12.75">
      <c r="D1923" s="30"/>
    </row>
    <row r="1924" ht="12.75">
      <c r="D1924" s="30"/>
    </row>
    <row r="1925" ht="12.75">
      <c r="D1925" s="30"/>
    </row>
    <row r="1926" ht="12.75">
      <c r="D1926" s="30"/>
    </row>
    <row r="1927" ht="12.75">
      <c r="D1927" s="30"/>
    </row>
    <row r="1928" ht="12.75">
      <c r="D1928" s="30"/>
    </row>
    <row r="1929" ht="12.75">
      <c r="D1929" s="30"/>
    </row>
    <row r="1930" ht="12.75">
      <c r="D1930" s="30"/>
    </row>
    <row r="1931" ht="12.75">
      <c r="D1931" s="30"/>
    </row>
    <row r="1932" ht="12.75">
      <c r="D1932" s="30"/>
    </row>
    <row r="1933" ht="12.75">
      <c r="D1933" s="30"/>
    </row>
    <row r="1934" ht="12.75">
      <c r="D1934" s="30"/>
    </row>
    <row r="1935" ht="12.75">
      <c r="D1935" s="30"/>
    </row>
    <row r="1936" ht="12.75">
      <c r="D1936" s="30"/>
    </row>
    <row r="1937" ht="12.75">
      <c r="D1937" s="30"/>
    </row>
    <row r="1938" ht="12.75">
      <c r="D1938" s="30"/>
    </row>
    <row r="1939" ht="12.75">
      <c r="D1939" s="30"/>
    </row>
    <row r="1940" ht="12.75">
      <c r="D1940" s="30"/>
    </row>
    <row r="1941" ht="12.75">
      <c r="D1941" s="30"/>
    </row>
    <row r="1942" ht="12.75">
      <c r="D1942" s="30"/>
    </row>
    <row r="1943" ht="12.75">
      <c r="D1943" s="30"/>
    </row>
    <row r="1944" ht="12.75">
      <c r="D1944" s="30"/>
    </row>
    <row r="1945" ht="12.75">
      <c r="D1945" s="30"/>
    </row>
    <row r="1946" ht="12.75">
      <c r="D1946" s="30"/>
    </row>
    <row r="1947" ht="12.75">
      <c r="D1947" s="30"/>
    </row>
    <row r="1948" ht="12.75">
      <c r="D1948" s="30"/>
    </row>
    <row r="1949" ht="12.75">
      <c r="D1949" s="30"/>
    </row>
    <row r="1950" ht="12.75">
      <c r="D1950" s="30"/>
    </row>
    <row r="1951" ht="12.75">
      <c r="D1951" s="30"/>
    </row>
    <row r="1952" ht="12.75">
      <c r="D1952" s="30"/>
    </row>
    <row r="1953" ht="12.75">
      <c r="D1953" s="30"/>
    </row>
    <row r="1954" ht="12.75">
      <c r="D1954" s="30"/>
    </row>
    <row r="1955" ht="12.75">
      <c r="D1955" s="30"/>
    </row>
    <row r="1956" ht="12.75">
      <c r="D1956" s="30"/>
    </row>
    <row r="1957" ht="12.75">
      <c r="D1957" s="30"/>
    </row>
    <row r="1958" ht="12.75">
      <c r="D1958" s="30"/>
    </row>
    <row r="1959" ht="12.75">
      <c r="D1959" s="30"/>
    </row>
    <row r="1960" ht="12.75">
      <c r="D1960" s="30"/>
    </row>
    <row r="1961" ht="12.75">
      <c r="D1961" s="30"/>
    </row>
    <row r="1962" ht="12.75">
      <c r="D1962" s="30"/>
    </row>
    <row r="1963" ht="12.75">
      <c r="D1963" s="30"/>
    </row>
    <row r="1964" ht="12.75">
      <c r="D1964" s="30"/>
    </row>
    <row r="1965" ht="12.75">
      <c r="D1965" s="30"/>
    </row>
    <row r="1966" ht="12.75">
      <c r="D1966" s="30"/>
    </row>
    <row r="1967" ht="12.75">
      <c r="D1967" s="30"/>
    </row>
    <row r="1968" ht="12.75">
      <c r="D1968" s="30"/>
    </row>
    <row r="1969" ht="12.75">
      <c r="D1969" s="30"/>
    </row>
    <row r="1970" ht="12.75">
      <c r="D1970" s="30"/>
    </row>
    <row r="1971" ht="12.75">
      <c r="D1971" s="30"/>
    </row>
    <row r="1972" ht="12.75">
      <c r="D1972" s="30"/>
    </row>
    <row r="1973" ht="12.75">
      <c r="D1973" s="30"/>
    </row>
    <row r="1974" ht="12.75">
      <c r="D1974" s="30"/>
    </row>
    <row r="1975" ht="12.75">
      <c r="D1975" s="30"/>
    </row>
    <row r="1976" ht="12.75">
      <c r="D1976" s="30"/>
    </row>
    <row r="1977" ht="12.75">
      <c r="D1977" s="30"/>
    </row>
    <row r="1978" ht="12.75">
      <c r="D1978" s="30"/>
    </row>
    <row r="1979" ht="12.75">
      <c r="D1979" s="30"/>
    </row>
    <row r="1980" ht="12.75">
      <c r="D1980" s="30"/>
    </row>
    <row r="1981" ht="12.75">
      <c r="D1981" s="30"/>
    </row>
    <row r="1982" ht="12.75">
      <c r="D1982" s="30"/>
    </row>
    <row r="1983" ht="12.75">
      <c r="D1983" s="30"/>
    </row>
    <row r="1984" ht="12.75">
      <c r="D1984" s="30"/>
    </row>
    <row r="1985" ht="12.75">
      <c r="D1985" s="30"/>
    </row>
    <row r="1986" ht="12.75">
      <c r="D1986" s="30"/>
    </row>
    <row r="1987" ht="12.75">
      <c r="D1987" s="30"/>
    </row>
    <row r="1988" ht="12.75">
      <c r="D1988" s="30"/>
    </row>
    <row r="1989" ht="12.75">
      <c r="D1989" s="30"/>
    </row>
    <row r="1990" ht="12.75">
      <c r="D1990" s="30"/>
    </row>
    <row r="1991" ht="12.75">
      <c r="D1991" s="30"/>
    </row>
    <row r="1992" ht="12.75">
      <c r="D1992" s="30"/>
    </row>
    <row r="1993" ht="12.75">
      <c r="D1993" s="30"/>
    </row>
    <row r="1994" ht="12.75">
      <c r="D1994" s="30"/>
    </row>
    <row r="1995" ht="12.75">
      <c r="D1995" s="30"/>
    </row>
    <row r="1996" ht="12.75">
      <c r="D1996" s="30"/>
    </row>
    <row r="1997" ht="12.75">
      <c r="D1997" s="30"/>
    </row>
    <row r="1998" ht="12.75">
      <c r="D1998" s="30"/>
    </row>
    <row r="1999" ht="12.75">
      <c r="D1999" s="30"/>
    </row>
    <row r="2000" ht="12.75">
      <c r="D2000" s="30"/>
    </row>
    <row r="2001" ht="12.75">
      <c r="D2001" s="30"/>
    </row>
    <row r="2002" ht="12.75">
      <c r="D2002" s="30"/>
    </row>
    <row r="2003" ht="12.75">
      <c r="D2003" s="30"/>
    </row>
    <row r="2004" ht="12.75">
      <c r="D2004" s="30"/>
    </row>
    <row r="2005" ht="12.75">
      <c r="D2005" s="30"/>
    </row>
    <row r="2006" ht="12.75">
      <c r="D2006" s="30"/>
    </row>
    <row r="2007" ht="12.75">
      <c r="D2007" s="30"/>
    </row>
    <row r="2008" ht="12.75">
      <c r="D2008" s="30"/>
    </row>
    <row r="2009" ht="12.75">
      <c r="D2009" s="30"/>
    </row>
    <row r="2010" ht="12.75">
      <c r="D2010" s="30"/>
    </row>
    <row r="2011" ht="12.75">
      <c r="D2011" s="30"/>
    </row>
    <row r="2012" ht="12.75">
      <c r="D2012" s="30"/>
    </row>
    <row r="2013" ht="12.75">
      <c r="D2013" s="30"/>
    </row>
    <row r="2014" ht="12.75">
      <c r="D2014" s="30"/>
    </row>
    <row r="2015" ht="12.75">
      <c r="D2015" s="30"/>
    </row>
    <row r="2016" ht="12.75">
      <c r="D2016" s="30"/>
    </row>
    <row r="2017" ht="12.75">
      <c r="D2017" s="30"/>
    </row>
    <row r="2018" ht="12.75">
      <c r="D2018" s="30"/>
    </row>
    <row r="2019" ht="12.75">
      <c r="D2019" s="30"/>
    </row>
    <row r="2020" ht="12.75">
      <c r="D2020" s="30"/>
    </row>
    <row r="2021" ht="12.75">
      <c r="D2021" s="30"/>
    </row>
    <row r="2022" ht="12.75">
      <c r="D2022" s="30"/>
    </row>
    <row r="2023" ht="12.75">
      <c r="D2023" s="30"/>
    </row>
    <row r="2024" ht="12.75">
      <c r="D2024" s="30"/>
    </row>
    <row r="2025" ht="12.75">
      <c r="D2025" s="30"/>
    </row>
    <row r="2026" ht="12.75">
      <c r="D2026" s="30"/>
    </row>
    <row r="2027" ht="12.75">
      <c r="D2027" s="30"/>
    </row>
    <row r="2028" ht="12.75">
      <c r="D2028" s="30"/>
    </row>
    <row r="2029" ht="12.75">
      <c r="D2029" s="30"/>
    </row>
    <row r="2030" ht="12.75">
      <c r="D2030" s="30"/>
    </row>
    <row r="2031" ht="12.75">
      <c r="D2031" s="30"/>
    </row>
    <row r="2032" ht="12.75">
      <c r="D2032" s="30"/>
    </row>
    <row r="2033" ht="12.75">
      <c r="D2033" s="30"/>
    </row>
    <row r="2034" ht="12.75">
      <c r="D2034" s="30"/>
    </row>
    <row r="2035" ht="12.75">
      <c r="D2035" s="30"/>
    </row>
    <row r="2036" ht="12.75">
      <c r="D2036" s="30"/>
    </row>
    <row r="2037" ht="12.75">
      <c r="D2037" s="30"/>
    </row>
    <row r="2038" ht="12.75">
      <c r="D2038" s="30"/>
    </row>
    <row r="2039" ht="12.75">
      <c r="D2039" s="30"/>
    </row>
    <row r="2040" ht="12.75">
      <c r="D2040" s="30"/>
    </row>
    <row r="2041" ht="12.75">
      <c r="D2041" s="30"/>
    </row>
    <row r="2042" ht="12.75">
      <c r="D2042" s="30"/>
    </row>
    <row r="2043" ht="12.75">
      <c r="D2043" s="30"/>
    </row>
    <row r="2044" ht="12.75">
      <c r="D2044" s="30"/>
    </row>
    <row r="2045" ht="12.75">
      <c r="D2045" s="30"/>
    </row>
    <row r="2046" ht="12.75">
      <c r="D2046" s="30"/>
    </row>
    <row r="2047" ht="12.75">
      <c r="D2047" s="30"/>
    </row>
    <row r="2048" ht="12.75">
      <c r="D2048" s="30"/>
    </row>
    <row r="2049" ht="12.75">
      <c r="D2049" s="30"/>
    </row>
    <row r="2050" ht="12.75">
      <c r="D2050" s="30"/>
    </row>
    <row r="2051" ht="12.75">
      <c r="D2051" s="30"/>
    </row>
    <row r="2052" ht="12.75">
      <c r="D2052" s="30"/>
    </row>
    <row r="2053" ht="12.75">
      <c r="D2053" s="30"/>
    </row>
    <row r="2054" ht="12.75">
      <c r="D2054" s="30"/>
    </row>
    <row r="2055" ht="12.75">
      <c r="D2055" s="30"/>
    </row>
    <row r="2056" ht="12.75">
      <c r="D2056" s="30"/>
    </row>
    <row r="2057" ht="12.75">
      <c r="D2057" s="30"/>
    </row>
    <row r="2058" ht="12.75">
      <c r="D2058" s="30"/>
    </row>
    <row r="2059" ht="12.75">
      <c r="D2059" s="30"/>
    </row>
    <row r="2060" ht="12.75">
      <c r="D2060" s="30"/>
    </row>
    <row r="2061" ht="12.75">
      <c r="D2061" s="30"/>
    </row>
    <row r="2062" ht="12.75">
      <c r="D2062" s="30"/>
    </row>
    <row r="2063" ht="12.75">
      <c r="D2063" s="30"/>
    </row>
    <row r="2064" ht="12.75">
      <c r="D2064" s="30"/>
    </row>
    <row r="2065" ht="12.75">
      <c r="D2065" s="30"/>
    </row>
    <row r="2066" ht="12.75">
      <c r="D2066" s="30"/>
    </row>
    <row r="2067" ht="12.75">
      <c r="D2067" s="30"/>
    </row>
    <row r="2068" ht="12.75">
      <c r="D2068" s="30"/>
    </row>
    <row r="2069" ht="12.75">
      <c r="D2069" s="30"/>
    </row>
    <row r="2070" ht="12.75">
      <c r="D2070" s="30"/>
    </row>
    <row r="2071" ht="12.75">
      <c r="D2071" s="30"/>
    </row>
    <row r="2072" ht="12.75">
      <c r="D2072" s="30"/>
    </row>
    <row r="2073" ht="12.75">
      <c r="D2073" s="30"/>
    </row>
    <row r="2074" ht="12.75">
      <c r="D2074" s="30"/>
    </row>
    <row r="2075" ht="12.75">
      <c r="D2075" s="30"/>
    </row>
    <row r="2076" ht="12.75">
      <c r="D2076" s="30"/>
    </row>
    <row r="2077" ht="12.75">
      <c r="D2077" s="30"/>
    </row>
    <row r="2078" ht="12.75">
      <c r="D2078" s="30"/>
    </row>
    <row r="2079" ht="12.75">
      <c r="D2079" s="30"/>
    </row>
    <row r="2080" ht="12.75">
      <c r="D2080" s="30"/>
    </row>
    <row r="2081" ht="12.75">
      <c r="D2081" s="30"/>
    </row>
    <row r="2082" ht="12.75">
      <c r="D2082" s="30"/>
    </row>
    <row r="2083" ht="12.75">
      <c r="D2083" s="30"/>
    </row>
    <row r="2084" ht="12.75">
      <c r="D2084" s="30"/>
    </row>
    <row r="2085" ht="12.75">
      <c r="D2085" s="30"/>
    </row>
    <row r="2086" ht="12.75">
      <c r="D2086" s="30"/>
    </row>
    <row r="2087" ht="12.75">
      <c r="D2087" s="30"/>
    </row>
    <row r="2088" ht="12.75">
      <c r="D2088" s="30"/>
    </row>
    <row r="2089" ht="12.75">
      <c r="D2089" s="30"/>
    </row>
    <row r="2090" ht="12.75">
      <c r="D2090" s="30"/>
    </row>
    <row r="2091" ht="12.75">
      <c r="D2091" s="30"/>
    </row>
    <row r="2092" ht="12.75">
      <c r="D2092" s="30"/>
    </row>
    <row r="2093" ht="12.75">
      <c r="D2093" s="30"/>
    </row>
    <row r="2094" ht="12.75">
      <c r="D2094" s="30"/>
    </row>
    <row r="2095" ht="12.75">
      <c r="D2095" s="30"/>
    </row>
    <row r="2096" ht="12.75">
      <c r="D2096" s="30"/>
    </row>
    <row r="2097" ht="12.75">
      <c r="D2097" s="30"/>
    </row>
    <row r="2098" ht="12.75">
      <c r="D2098" s="30"/>
    </row>
    <row r="2099" ht="12.75">
      <c r="D2099" s="30"/>
    </row>
    <row r="2100" ht="12.75">
      <c r="D2100" s="30"/>
    </row>
    <row r="2101" ht="12.75">
      <c r="D2101" s="30"/>
    </row>
    <row r="2102" ht="12.75">
      <c r="D2102" s="30"/>
    </row>
    <row r="2103" ht="12.75">
      <c r="D2103" s="30"/>
    </row>
    <row r="2104" ht="12.75">
      <c r="D2104" s="30"/>
    </row>
    <row r="2105" ht="12.75">
      <c r="D2105" s="30"/>
    </row>
    <row r="2106" ht="12.75">
      <c r="D2106" s="30"/>
    </row>
    <row r="2107" ht="12.75">
      <c r="D2107" s="30"/>
    </row>
    <row r="2108" ht="12.75">
      <c r="D2108" s="30"/>
    </row>
    <row r="2109" ht="12.75">
      <c r="D2109" s="30"/>
    </row>
    <row r="2110" ht="12.75">
      <c r="D2110" s="30"/>
    </row>
    <row r="2111" ht="12.75">
      <c r="D2111" s="30"/>
    </row>
    <row r="2112" ht="12.75">
      <c r="D2112" s="30"/>
    </row>
    <row r="2113" ht="12.75">
      <c r="D2113" s="30"/>
    </row>
    <row r="2114" ht="12.75">
      <c r="D2114" s="30"/>
    </row>
    <row r="2115" ht="12.75">
      <c r="D2115" s="30"/>
    </row>
    <row r="2116" ht="12.75">
      <c r="D2116" s="30"/>
    </row>
    <row r="2117" ht="12.75">
      <c r="D2117" s="30"/>
    </row>
    <row r="2118" ht="12.75">
      <c r="D2118" s="30"/>
    </row>
    <row r="2119" ht="12.75">
      <c r="D2119" s="30"/>
    </row>
    <row r="2120" ht="12.75">
      <c r="D2120" s="30"/>
    </row>
    <row r="2121" ht="12.75">
      <c r="D2121" s="30"/>
    </row>
    <row r="2122" ht="12.75">
      <c r="D2122" s="30"/>
    </row>
    <row r="2123" ht="12.75">
      <c r="D2123" s="30"/>
    </row>
    <row r="2124" ht="12.75">
      <c r="D2124" s="30"/>
    </row>
    <row r="2125" ht="12.75">
      <c r="D2125" s="30"/>
    </row>
    <row r="2126" ht="12.75">
      <c r="D2126" s="30"/>
    </row>
    <row r="2127" ht="12.75">
      <c r="D2127" s="30"/>
    </row>
    <row r="2128" ht="12.75">
      <c r="D2128" s="30"/>
    </row>
    <row r="2129" ht="12.75">
      <c r="D2129" s="30"/>
    </row>
    <row r="2130" ht="12.75">
      <c r="D2130" s="30"/>
    </row>
    <row r="2131" ht="12.75">
      <c r="D2131" s="30"/>
    </row>
    <row r="2132" ht="12.75">
      <c r="D2132" s="30"/>
    </row>
    <row r="2133" ht="12.75">
      <c r="D2133" s="30"/>
    </row>
    <row r="2134" ht="12.75">
      <c r="D2134" s="30"/>
    </row>
    <row r="2135" ht="12.75">
      <c r="D2135" s="30"/>
    </row>
    <row r="2136" ht="12.75">
      <c r="D2136" s="30"/>
    </row>
    <row r="2137" ht="12.75">
      <c r="D2137" s="30"/>
    </row>
    <row r="2138" ht="12.75">
      <c r="D2138" s="30"/>
    </row>
    <row r="2139" ht="12.75">
      <c r="D2139" s="30"/>
    </row>
    <row r="2140" ht="12.75">
      <c r="D2140" s="30"/>
    </row>
    <row r="2141" ht="12.75">
      <c r="D2141" s="30"/>
    </row>
    <row r="2142" ht="12.75">
      <c r="D2142" s="30"/>
    </row>
    <row r="2143" ht="12.75">
      <c r="D2143" s="30"/>
    </row>
    <row r="2144" ht="12.75">
      <c r="D2144" s="30"/>
    </row>
    <row r="2145" ht="12.75">
      <c r="D2145" s="30"/>
    </row>
    <row r="2146" ht="12.75">
      <c r="D2146" s="30"/>
    </row>
    <row r="2147" ht="12.75">
      <c r="D2147" s="30"/>
    </row>
    <row r="2148" ht="12.75">
      <c r="D2148" s="30"/>
    </row>
    <row r="2149" ht="12.75">
      <c r="D2149" s="30"/>
    </row>
    <row r="2150" ht="12.75">
      <c r="D2150" s="30"/>
    </row>
    <row r="2151" ht="12.75">
      <c r="D2151" s="30"/>
    </row>
    <row r="2152" ht="12.75">
      <c r="D2152" s="30"/>
    </row>
    <row r="2153" ht="12.75">
      <c r="D2153" s="30"/>
    </row>
    <row r="2154" ht="12.75">
      <c r="D2154" s="30"/>
    </row>
    <row r="2155" ht="12.75">
      <c r="D2155" s="30"/>
    </row>
    <row r="2156" ht="12.75">
      <c r="D2156" s="30"/>
    </row>
    <row r="2157" ht="12.75">
      <c r="D2157" s="30"/>
    </row>
    <row r="2158" ht="12.75">
      <c r="D2158" s="30"/>
    </row>
    <row r="2159" ht="12.75">
      <c r="D2159" s="30"/>
    </row>
    <row r="2160" ht="12.75">
      <c r="D2160" s="30"/>
    </row>
    <row r="2161" ht="12.75">
      <c r="D2161" s="30"/>
    </row>
    <row r="2162" ht="12.75">
      <c r="D2162" s="30"/>
    </row>
    <row r="2163" ht="12.75">
      <c r="D2163" s="30"/>
    </row>
    <row r="2164" ht="12.75">
      <c r="D2164" s="30"/>
    </row>
    <row r="2165" ht="12.75">
      <c r="D2165" s="30"/>
    </row>
    <row r="2166" ht="12.75">
      <c r="D2166" s="30"/>
    </row>
    <row r="2167" ht="12.75">
      <c r="D2167" s="30"/>
    </row>
    <row r="2168" ht="12.75">
      <c r="D2168" s="30"/>
    </row>
    <row r="2169" ht="12.75">
      <c r="D2169" s="30"/>
    </row>
    <row r="2170" ht="12.75">
      <c r="D2170" s="30"/>
    </row>
    <row r="2171" ht="12.75">
      <c r="D2171" s="30"/>
    </row>
    <row r="2172" ht="12.75">
      <c r="D2172" s="30"/>
    </row>
    <row r="2173" ht="12.75">
      <c r="D2173" s="30"/>
    </row>
    <row r="2174" ht="12.75">
      <c r="D2174" s="30"/>
    </row>
    <row r="2175" ht="12.75">
      <c r="D2175" s="30"/>
    </row>
    <row r="2176" ht="12.75">
      <c r="D2176" s="30"/>
    </row>
    <row r="2177" ht="12.75">
      <c r="D2177" s="30"/>
    </row>
    <row r="2178" ht="12.75">
      <c r="D2178" s="30"/>
    </row>
    <row r="2179" ht="12.75">
      <c r="D2179" s="30"/>
    </row>
    <row r="2180" ht="12.75">
      <c r="D2180" s="30"/>
    </row>
    <row r="2181" ht="12.75">
      <c r="D2181" s="30"/>
    </row>
    <row r="2182" ht="12.75">
      <c r="D2182" s="30"/>
    </row>
    <row r="2183" ht="12.75">
      <c r="D2183" s="30"/>
    </row>
    <row r="2184" ht="12.75">
      <c r="D2184" s="30"/>
    </row>
    <row r="2185" ht="12.75">
      <c r="D2185" s="30"/>
    </row>
    <row r="2186" ht="12.75">
      <c r="D2186" s="30"/>
    </row>
    <row r="2187" ht="12.75">
      <c r="D2187" s="30"/>
    </row>
    <row r="2188" ht="12.75">
      <c r="D2188" s="30"/>
    </row>
    <row r="2189" ht="12.75">
      <c r="D2189" s="30"/>
    </row>
    <row r="2190" ht="12.75">
      <c r="D2190" s="30"/>
    </row>
    <row r="2191" ht="12.75">
      <c r="D2191" s="30"/>
    </row>
    <row r="2192" ht="12.75">
      <c r="D2192" s="30"/>
    </row>
    <row r="2193" ht="12.75">
      <c r="D2193" s="30"/>
    </row>
    <row r="2194" ht="12.75">
      <c r="D2194" s="30"/>
    </row>
    <row r="2195" ht="12.75">
      <c r="D2195" s="30"/>
    </row>
    <row r="2196" ht="12.75">
      <c r="D2196" s="30"/>
    </row>
    <row r="2197" ht="12.75">
      <c r="D2197" s="30"/>
    </row>
    <row r="2198" ht="12.75">
      <c r="D2198" s="30"/>
    </row>
    <row r="2199" ht="12.75">
      <c r="D2199" s="30"/>
    </row>
    <row r="2200" ht="12.75">
      <c r="D2200" s="30"/>
    </row>
    <row r="2201" ht="12.75">
      <c r="D2201" s="30"/>
    </row>
    <row r="2202" ht="12.75">
      <c r="D2202" s="30"/>
    </row>
    <row r="2203" ht="12.75">
      <c r="D2203" s="30"/>
    </row>
    <row r="2204" ht="12.75">
      <c r="D2204" s="30"/>
    </row>
    <row r="2205" ht="12.75">
      <c r="D2205" s="30"/>
    </row>
    <row r="2206" ht="12.75">
      <c r="D2206" s="30"/>
    </row>
    <row r="2207" ht="12.75">
      <c r="D2207" s="30"/>
    </row>
    <row r="2208" ht="12.75">
      <c r="D2208" s="30"/>
    </row>
    <row r="2209" ht="12.75">
      <c r="D2209" s="30"/>
    </row>
    <row r="2210" ht="12.75">
      <c r="D2210" s="30"/>
    </row>
    <row r="2211" ht="12.75">
      <c r="D2211" s="30"/>
    </row>
    <row r="2212" ht="12.75">
      <c r="D2212" s="30"/>
    </row>
    <row r="2213" ht="12.75">
      <c r="D2213" s="30"/>
    </row>
    <row r="2214" ht="12.75">
      <c r="D2214" s="30"/>
    </row>
    <row r="2215" ht="12.75">
      <c r="D2215" s="30"/>
    </row>
    <row r="2216" ht="12.75">
      <c r="D2216" s="30"/>
    </row>
    <row r="2217" ht="12.75">
      <c r="D2217" s="30"/>
    </row>
    <row r="2218" ht="12.75">
      <c r="D2218" s="30"/>
    </row>
    <row r="2219" ht="12.75">
      <c r="D2219" s="30"/>
    </row>
    <row r="2220" ht="12.75">
      <c r="D2220" s="30"/>
    </row>
    <row r="2221" ht="12.75">
      <c r="D2221" s="30"/>
    </row>
    <row r="2222" ht="12.75">
      <c r="D2222" s="30"/>
    </row>
    <row r="2223" ht="12.75">
      <c r="D2223" s="30"/>
    </row>
    <row r="2224" ht="12.75">
      <c r="D2224" s="30"/>
    </row>
    <row r="2225" ht="12.75">
      <c r="D2225" s="30"/>
    </row>
    <row r="2226" ht="12.75">
      <c r="D2226" s="30"/>
    </row>
    <row r="2227" ht="12.75">
      <c r="D2227" s="30"/>
    </row>
    <row r="2228" ht="12.75">
      <c r="D2228" s="30"/>
    </row>
    <row r="2229" ht="12.75">
      <c r="D2229" s="30"/>
    </row>
    <row r="2230" ht="12.75">
      <c r="D2230" s="30"/>
    </row>
    <row r="2231" ht="12.75">
      <c r="D2231" s="30"/>
    </row>
    <row r="2232" ht="12.75">
      <c r="D2232" s="30"/>
    </row>
    <row r="2233" ht="12.75">
      <c r="D2233" s="30"/>
    </row>
    <row r="2234" ht="12.75">
      <c r="D2234" s="30"/>
    </row>
    <row r="2235" ht="12.75">
      <c r="D2235" s="30"/>
    </row>
    <row r="2236" ht="12.75">
      <c r="D2236" s="30"/>
    </row>
    <row r="2237" ht="12.75">
      <c r="D2237" s="30"/>
    </row>
    <row r="2238" ht="12.75">
      <c r="D2238" s="30"/>
    </row>
    <row r="2239" ht="12.75">
      <c r="D2239" s="30"/>
    </row>
    <row r="2240" ht="12.75">
      <c r="D2240" s="30"/>
    </row>
    <row r="2241" ht="12.75">
      <c r="D2241" s="30"/>
    </row>
    <row r="2242" ht="12.75">
      <c r="D2242" s="30"/>
    </row>
    <row r="2243" ht="12.75">
      <c r="D2243" s="30"/>
    </row>
    <row r="2244" ht="12.75">
      <c r="D2244" s="30"/>
    </row>
    <row r="2245" ht="12.75">
      <c r="D2245" s="30"/>
    </row>
    <row r="2246" ht="12.75">
      <c r="D2246" s="30"/>
    </row>
    <row r="2247" ht="12.75">
      <c r="D2247" s="30"/>
    </row>
    <row r="2248" ht="12.75">
      <c r="D2248" s="30"/>
    </row>
    <row r="2249" ht="12.75">
      <c r="D2249" s="30"/>
    </row>
    <row r="2250" ht="12.75">
      <c r="D2250" s="30"/>
    </row>
    <row r="2251" ht="12.75">
      <c r="D2251" s="30"/>
    </row>
    <row r="2252" ht="12.75">
      <c r="D2252" s="30"/>
    </row>
    <row r="2253" ht="12.75">
      <c r="D2253" s="30"/>
    </row>
    <row r="2254" ht="12.75">
      <c r="D2254" s="30"/>
    </row>
    <row r="2255" ht="12.75">
      <c r="D2255" s="30"/>
    </row>
    <row r="2256" ht="12.75">
      <c r="D2256" s="30"/>
    </row>
    <row r="2257" ht="12.75">
      <c r="D2257" s="30"/>
    </row>
    <row r="2258" ht="12.75">
      <c r="D2258" s="30"/>
    </row>
    <row r="2259" ht="12.75">
      <c r="D2259" s="30"/>
    </row>
    <row r="2260" ht="12.75">
      <c r="D2260" s="30"/>
    </row>
    <row r="2261" ht="12.75">
      <c r="D2261" s="30"/>
    </row>
    <row r="2262" ht="12.75">
      <c r="D2262" s="30"/>
    </row>
    <row r="2263" ht="12.75">
      <c r="D2263" s="30"/>
    </row>
    <row r="2264" ht="12.75">
      <c r="D2264" s="30"/>
    </row>
    <row r="2265" ht="12.75">
      <c r="D2265" s="30"/>
    </row>
    <row r="2266" ht="12.75">
      <c r="D2266" s="30"/>
    </row>
    <row r="2267" ht="12.75">
      <c r="D2267" s="30"/>
    </row>
    <row r="2268" ht="12.75">
      <c r="D2268" s="30"/>
    </row>
    <row r="2269" ht="12.75">
      <c r="D2269" s="30"/>
    </row>
    <row r="2270" ht="12.75">
      <c r="D2270" s="30"/>
    </row>
    <row r="2271" ht="12.75">
      <c r="D2271" s="30"/>
    </row>
    <row r="2272" ht="12.75">
      <c r="D2272" s="30"/>
    </row>
    <row r="2273" ht="12.75">
      <c r="D2273" s="30"/>
    </row>
    <row r="2274" ht="12.75">
      <c r="D2274" s="30"/>
    </row>
    <row r="2275" ht="12.75">
      <c r="D2275" s="30"/>
    </row>
    <row r="2276" ht="12.75">
      <c r="D2276" s="30"/>
    </row>
    <row r="2277" ht="12.75">
      <c r="D2277" s="30"/>
    </row>
    <row r="2278" ht="12.75">
      <c r="D2278" s="30"/>
    </row>
    <row r="2279" ht="12.75">
      <c r="D2279" s="30"/>
    </row>
    <row r="2280" ht="12.75">
      <c r="D2280" s="30"/>
    </row>
    <row r="2281" ht="12.75">
      <c r="D2281" s="30"/>
    </row>
    <row r="2282" ht="12.75">
      <c r="D2282" s="30"/>
    </row>
    <row r="2283" ht="12.75">
      <c r="D2283" s="30"/>
    </row>
    <row r="2284" ht="12.75">
      <c r="D2284" s="30"/>
    </row>
    <row r="2285" ht="12.75">
      <c r="D2285" s="30"/>
    </row>
    <row r="2286" ht="12.75">
      <c r="D2286" s="30"/>
    </row>
    <row r="2287" ht="12.75">
      <c r="D2287" s="30"/>
    </row>
    <row r="2288" ht="12.75">
      <c r="D2288" s="30"/>
    </row>
    <row r="2289" ht="12.75">
      <c r="D2289" s="30"/>
    </row>
    <row r="2290" ht="12.75">
      <c r="D2290" s="30"/>
    </row>
    <row r="2291" ht="12.75">
      <c r="D2291" s="30"/>
    </row>
    <row r="2292" ht="12.75">
      <c r="D2292" s="30"/>
    </row>
    <row r="2293" ht="12.75">
      <c r="D2293" s="30"/>
    </row>
    <row r="2294" ht="12.75">
      <c r="D2294" s="30"/>
    </row>
    <row r="2295" ht="12.75">
      <c r="D2295" s="30"/>
    </row>
    <row r="2296" ht="12.75">
      <c r="D2296" s="30"/>
    </row>
    <row r="2297" ht="12.75">
      <c r="D2297" s="30"/>
    </row>
    <row r="2298" ht="12.75">
      <c r="D2298" s="30"/>
    </row>
    <row r="2299" ht="12.75">
      <c r="D2299" s="30"/>
    </row>
    <row r="2300" ht="12.75">
      <c r="D2300" s="30"/>
    </row>
    <row r="2301" ht="12.75">
      <c r="D2301" s="30"/>
    </row>
    <row r="2302" ht="12.75">
      <c r="D2302" s="30"/>
    </row>
    <row r="2303" ht="12.75">
      <c r="D2303" s="30"/>
    </row>
    <row r="2304" ht="12.75">
      <c r="D2304" s="30"/>
    </row>
    <row r="2305" ht="12.75">
      <c r="D2305" s="30"/>
    </row>
    <row r="2306" ht="12.75">
      <c r="D2306" s="30"/>
    </row>
    <row r="2307" ht="12.75">
      <c r="D2307" s="30"/>
    </row>
    <row r="2308" ht="12.75">
      <c r="D2308" s="30"/>
    </row>
    <row r="2309" ht="12.75">
      <c r="D2309" s="30"/>
    </row>
    <row r="2310" ht="12.75">
      <c r="D2310" s="30"/>
    </row>
    <row r="2311" ht="12.75">
      <c r="D2311" s="30"/>
    </row>
    <row r="2312" ht="12.75">
      <c r="D2312" s="30"/>
    </row>
    <row r="2313" ht="12.75">
      <c r="D2313" s="30"/>
    </row>
    <row r="2314" ht="12.75">
      <c r="D2314" s="30"/>
    </row>
    <row r="2315" ht="12.75">
      <c r="D2315" s="30"/>
    </row>
    <row r="2316" ht="12.75">
      <c r="D2316" s="30"/>
    </row>
    <row r="2317" ht="12.75">
      <c r="D2317" s="30"/>
    </row>
    <row r="2318" ht="12.75">
      <c r="D2318" s="30"/>
    </row>
    <row r="2319" ht="12.75">
      <c r="D2319" s="30"/>
    </row>
    <row r="2320" ht="12.75">
      <c r="D2320" s="30"/>
    </row>
    <row r="2321" ht="12.75">
      <c r="D2321" s="30"/>
    </row>
    <row r="2322" ht="12.75">
      <c r="D2322" s="30"/>
    </row>
    <row r="2323" ht="12.75">
      <c r="D2323" s="30"/>
    </row>
    <row r="2324" ht="12.75">
      <c r="D2324" s="30"/>
    </row>
    <row r="2325" ht="12.75">
      <c r="D2325" s="30"/>
    </row>
    <row r="2326" ht="12.75">
      <c r="D2326" s="30"/>
    </row>
    <row r="2327" ht="12.75">
      <c r="D2327" s="30"/>
    </row>
    <row r="2328" ht="12.75">
      <c r="D2328" s="30"/>
    </row>
    <row r="2329" ht="12.75">
      <c r="D2329" s="30"/>
    </row>
    <row r="2330" ht="12.75">
      <c r="D2330" s="30"/>
    </row>
    <row r="2331" ht="12.75">
      <c r="D2331" s="30"/>
    </row>
    <row r="2332" ht="12.75">
      <c r="D2332" s="30"/>
    </row>
    <row r="2333" ht="12.75">
      <c r="D2333" s="30"/>
    </row>
    <row r="2334" ht="12.75">
      <c r="D2334" s="30"/>
    </row>
    <row r="2335" ht="12.75">
      <c r="D2335" s="30"/>
    </row>
    <row r="2336" ht="12.75">
      <c r="D2336" s="30"/>
    </row>
    <row r="2337" ht="12.75">
      <c r="D2337" s="30"/>
    </row>
    <row r="2338" ht="12.75">
      <c r="D2338" s="30"/>
    </row>
    <row r="2339" ht="12.75">
      <c r="D2339" s="30"/>
    </row>
    <row r="2340" ht="12.75">
      <c r="D2340" s="30"/>
    </row>
    <row r="2341" ht="12.75">
      <c r="D2341" s="30"/>
    </row>
    <row r="2342" ht="12.75">
      <c r="D2342" s="30"/>
    </row>
    <row r="2343" ht="12.75">
      <c r="D2343" s="30"/>
    </row>
    <row r="2344" ht="12.75">
      <c r="D2344" s="30"/>
    </row>
    <row r="2345" ht="12.75">
      <c r="D2345" s="30"/>
    </row>
    <row r="2346" ht="12.75">
      <c r="D2346" s="30"/>
    </row>
    <row r="2347" ht="12.75">
      <c r="D2347" s="30"/>
    </row>
    <row r="2348" ht="12.75">
      <c r="D2348" s="30"/>
    </row>
    <row r="2349" ht="12.75">
      <c r="D2349" s="30"/>
    </row>
    <row r="2350" ht="12.75">
      <c r="D2350" s="30"/>
    </row>
    <row r="2351" ht="12.75">
      <c r="D2351" s="30"/>
    </row>
    <row r="2352" ht="12.75">
      <c r="D2352" s="30"/>
    </row>
    <row r="2353" ht="12.75">
      <c r="D2353" s="30"/>
    </row>
    <row r="2354" ht="12.75">
      <c r="D2354" s="30"/>
    </row>
    <row r="2355" ht="12.75">
      <c r="D2355" s="30"/>
    </row>
    <row r="2356" ht="12.75">
      <c r="D2356" s="30"/>
    </row>
    <row r="2357" ht="12.75">
      <c r="D2357" s="30"/>
    </row>
    <row r="2358" ht="12.75">
      <c r="D2358" s="30"/>
    </row>
    <row r="2359" ht="12.75">
      <c r="D2359" s="30"/>
    </row>
    <row r="2360" ht="12.75">
      <c r="D2360" s="30"/>
    </row>
    <row r="2361" ht="12.75">
      <c r="D2361" s="30"/>
    </row>
    <row r="2362" ht="12.75">
      <c r="D2362" s="30"/>
    </row>
    <row r="2363" ht="12.75">
      <c r="D2363" s="30"/>
    </row>
    <row r="2364" ht="12.75">
      <c r="D2364" s="30"/>
    </row>
    <row r="2365" ht="12.75">
      <c r="D2365" s="30"/>
    </row>
    <row r="2366" ht="12.75">
      <c r="D2366" s="30"/>
    </row>
    <row r="2367" ht="12.75">
      <c r="D2367" s="30"/>
    </row>
    <row r="2368" ht="12.75">
      <c r="D2368" s="30"/>
    </row>
    <row r="2369" ht="12.75">
      <c r="D2369" s="30"/>
    </row>
    <row r="2370" ht="12.75">
      <c r="D2370" s="30"/>
    </row>
    <row r="2371" ht="12.75">
      <c r="D2371" s="30"/>
    </row>
    <row r="2372" ht="12.75">
      <c r="D2372" s="30"/>
    </row>
    <row r="2373" ht="12.75">
      <c r="D2373" s="30"/>
    </row>
    <row r="2374" ht="12.75">
      <c r="D2374" s="30"/>
    </row>
    <row r="2375" ht="12.75">
      <c r="D2375" s="30"/>
    </row>
    <row r="2376" ht="12.75">
      <c r="D2376" s="30"/>
    </row>
    <row r="2377" ht="12.75">
      <c r="D2377" s="30"/>
    </row>
    <row r="2378" ht="12.75">
      <c r="D2378" s="30"/>
    </row>
    <row r="2379" ht="12.75">
      <c r="D2379" s="30"/>
    </row>
    <row r="2380" ht="12.75">
      <c r="D2380" s="30"/>
    </row>
    <row r="2381" ht="12.75">
      <c r="D2381" s="30"/>
    </row>
    <row r="2382" ht="12.75">
      <c r="D2382" s="30"/>
    </row>
    <row r="2383" ht="12.75">
      <c r="D2383" s="30"/>
    </row>
    <row r="2384" ht="12.75">
      <c r="D2384" s="30"/>
    </row>
    <row r="2385" ht="12.75">
      <c r="D2385" s="30"/>
    </row>
    <row r="2386" ht="12.75">
      <c r="D2386" s="30"/>
    </row>
    <row r="2387" ht="12.75">
      <c r="D2387" s="30"/>
    </row>
    <row r="2388" ht="12.75">
      <c r="D2388" s="30"/>
    </row>
    <row r="2389" ht="12.75">
      <c r="D2389" s="30"/>
    </row>
    <row r="2390" ht="12.75">
      <c r="D2390" s="30"/>
    </row>
    <row r="2391" ht="12.75">
      <c r="D2391" s="30"/>
    </row>
    <row r="2392" ht="12.75">
      <c r="D2392" s="30"/>
    </row>
    <row r="2393" ht="12.75">
      <c r="D2393" s="30"/>
    </row>
    <row r="2394" ht="12.75">
      <c r="D2394" s="30"/>
    </row>
    <row r="2395" ht="12.75">
      <c r="D2395" s="30"/>
    </row>
    <row r="2396" ht="12.75">
      <c r="D2396" s="30"/>
    </row>
    <row r="2397" ht="12.75">
      <c r="D2397" s="30"/>
    </row>
    <row r="2398" ht="12.75">
      <c r="D2398" s="30"/>
    </row>
    <row r="2399" ht="12.75">
      <c r="D2399" s="30"/>
    </row>
    <row r="2400" ht="12.75">
      <c r="D2400" s="30"/>
    </row>
    <row r="2401" ht="12.75">
      <c r="D2401" s="30"/>
    </row>
    <row r="2402" ht="12.75">
      <c r="D2402" s="30"/>
    </row>
    <row r="2403" ht="12.75">
      <c r="D2403" s="30"/>
    </row>
    <row r="2404" ht="12.75">
      <c r="D2404" s="30"/>
    </row>
    <row r="2405" ht="12.75">
      <c r="D2405" s="30"/>
    </row>
    <row r="2406" ht="12.75">
      <c r="D2406" s="30"/>
    </row>
    <row r="2407" ht="12.75">
      <c r="D2407" s="30"/>
    </row>
    <row r="2408" ht="12.75">
      <c r="D2408" s="30"/>
    </row>
    <row r="2409" ht="12.75">
      <c r="D2409" s="30"/>
    </row>
    <row r="2410" ht="12.75">
      <c r="D2410" s="30"/>
    </row>
    <row r="2411" ht="12.75">
      <c r="D2411" s="30"/>
    </row>
    <row r="2412" ht="12.75">
      <c r="D2412" s="30"/>
    </row>
    <row r="2413" ht="12.75">
      <c r="D2413" s="30"/>
    </row>
    <row r="2414" ht="12.75">
      <c r="D2414" s="30"/>
    </row>
    <row r="2415" ht="12.75">
      <c r="D2415" s="30"/>
    </row>
    <row r="2416" ht="12.75">
      <c r="D2416" s="30"/>
    </row>
    <row r="2417" ht="12.75">
      <c r="D2417" s="30"/>
    </row>
    <row r="2418" ht="12.75">
      <c r="D2418" s="30"/>
    </row>
    <row r="2419" ht="12.75">
      <c r="D2419" s="30"/>
    </row>
    <row r="2420" ht="12.75">
      <c r="D2420" s="30"/>
    </row>
    <row r="2421" ht="12.75">
      <c r="D2421" s="30"/>
    </row>
    <row r="2422" ht="12.75">
      <c r="D2422" s="30"/>
    </row>
    <row r="2423" ht="12.75">
      <c r="D2423" s="30"/>
    </row>
    <row r="2424" ht="12.75">
      <c r="D2424" s="30"/>
    </row>
    <row r="2425" ht="12.75">
      <c r="D2425" s="30"/>
    </row>
    <row r="2426" ht="12.75">
      <c r="D2426" s="30"/>
    </row>
    <row r="2427" ht="12.75">
      <c r="D2427" s="30"/>
    </row>
    <row r="2428" ht="12.75">
      <c r="D2428" s="30"/>
    </row>
    <row r="2429" ht="12.75">
      <c r="D2429" s="30"/>
    </row>
    <row r="2430" ht="12.75">
      <c r="D2430" s="30"/>
    </row>
    <row r="2431" ht="12.75">
      <c r="D2431" s="30"/>
    </row>
    <row r="2432" ht="12.75">
      <c r="D2432" s="30"/>
    </row>
    <row r="2433" ht="12.75">
      <c r="D2433" s="30"/>
    </row>
    <row r="2434" ht="12.75">
      <c r="D2434" s="30"/>
    </row>
    <row r="2435" ht="12.75">
      <c r="D2435" s="30"/>
    </row>
    <row r="2436" ht="12.75">
      <c r="D2436" s="30"/>
    </row>
    <row r="2437" ht="12.75">
      <c r="D2437" s="30"/>
    </row>
    <row r="2438" ht="12.75">
      <c r="D2438" s="30"/>
    </row>
    <row r="2439" ht="12.75">
      <c r="D2439" s="30"/>
    </row>
    <row r="2440" ht="12.75">
      <c r="D2440" s="30"/>
    </row>
    <row r="2441" ht="12.75">
      <c r="D2441" s="30"/>
    </row>
    <row r="2442" ht="12.75">
      <c r="D2442" s="30"/>
    </row>
    <row r="2443" ht="12.75">
      <c r="D2443" s="30"/>
    </row>
    <row r="2444" ht="12.75">
      <c r="D2444" s="30"/>
    </row>
    <row r="2445" ht="12.75">
      <c r="D2445" s="30"/>
    </row>
    <row r="2446" ht="12.75">
      <c r="D2446" s="30"/>
    </row>
    <row r="2447" ht="12.75">
      <c r="D2447" s="30"/>
    </row>
    <row r="2448" ht="12.75">
      <c r="D2448" s="30"/>
    </row>
    <row r="2449" ht="12.75">
      <c r="D2449" s="30"/>
    </row>
    <row r="2450" ht="12.75">
      <c r="D2450" s="30"/>
    </row>
    <row r="2451" ht="12.75">
      <c r="D2451" s="30"/>
    </row>
    <row r="2452" ht="12.75">
      <c r="D2452" s="30"/>
    </row>
    <row r="2453" ht="12.75">
      <c r="D2453" s="30"/>
    </row>
    <row r="2454" ht="12.75">
      <c r="D2454" s="30"/>
    </row>
    <row r="2455" ht="12.75">
      <c r="D2455" s="30"/>
    </row>
    <row r="2456" ht="12.75">
      <c r="D2456" s="30"/>
    </row>
    <row r="2457" ht="12.75">
      <c r="D2457" s="30"/>
    </row>
    <row r="2458" ht="12.75">
      <c r="D2458" s="30"/>
    </row>
    <row r="2459" ht="12.75">
      <c r="D2459" s="30"/>
    </row>
    <row r="2460" ht="12.75">
      <c r="D2460" s="30"/>
    </row>
    <row r="2461" ht="12.75">
      <c r="D2461" s="30"/>
    </row>
    <row r="2462" ht="12.75">
      <c r="D2462" s="30"/>
    </row>
    <row r="2463" ht="12.75">
      <c r="D2463" s="30"/>
    </row>
    <row r="2464" ht="12.75">
      <c r="D2464" s="30"/>
    </row>
    <row r="2465" ht="12.75">
      <c r="D2465" s="30"/>
    </row>
    <row r="2466" ht="12.75">
      <c r="D2466" s="30"/>
    </row>
    <row r="2467" ht="12.75">
      <c r="D2467" s="30"/>
    </row>
    <row r="2468" ht="12.75">
      <c r="D2468" s="30"/>
    </row>
    <row r="2469" ht="12.75">
      <c r="D2469" s="30"/>
    </row>
    <row r="2470" ht="12.75">
      <c r="D2470" s="30"/>
    </row>
    <row r="2471" ht="12.75">
      <c r="D2471" s="30"/>
    </row>
    <row r="2472" ht="12.75">
      <c r="D2472" s="30"/>
    </row>
    <row r="2473" ht="12.75">
      <c r="D2473" s="30"/>
    </row>
    <row r="2474" ht="12.75">
      <c r="D2474" s="30"/>
    </row>
    <row r="2475" ht="12.75">
      <c r="D2475" s="30"/>
    </row>
    <row r="2476" ht="12.75">
      <c r="D2476" s="30"/>
    </row>
    <row r="2477" ht="12.75">
      <c r="D2477" s="30"/>
    </row>
    <row r="2478" ht="12.75">
      <c r="D2478" s="30"/>
    </row>
    <row r="2479" ht="12.75">
      <c r="D2479" s="30"/>
    </row>
    <row r="2480" ht="12.75">
      <c r="D2480" s="30"/>
    </row>
    <row r="2481" ht="12.75">
      <c r="D2481" s="30"/>
    </row>
    <row r="2482" ht="12.75">
      <c r="D2482" s="30"/>
    </row>
    <row r="2483" ht="12.75">
      <c r="D2483" s="30"/>
    </row>
    <row r="2484" ht="12.75">
      <c r="D2484" s="30"/>
    </row>
    <row r="2485" ht="12.75">
      <c r="D2485" s="30"/>
    </row>
    <row r="2486" ht="12.75">
      <c r="D2486" s="30"/>
    </row>
    <row r="2487" ht="12.75">
      <c r="D2487" s="30"/>
    </row>
    <row r="2488" ht="12.75">
      <c r="D2488" s="30"/>
    </row>
    <row r="2489" ht="12.75">
      <c r="D2489" s="30"/>
    </row>
    <row r="2490" ht="12.75">
      <c r="D2490" s="30"/>
    </row>
    <row r="2491" ht="12.75">
      <c r="D2491" s="30"/>
    </row>
    <row r="2492" ht="12.75">
      <c r="D2492" s="30"/>
    </row>
    <row r="2493" ht="12.75">
      <c r="D2493" s="30"/>
    </row>
    <row r="2494" ht="12.75">
      <c r="D2494" s="30"/>
    </row>
    <row r="2495" ht="12.75">
      <c r="D2495" s="30"/>
    </row>
    <row r="2496" ht="12.75">
      <c r="D2496" s="30"/>
    </row>
    <row r="2497" ht="12.75">
      <c r="D2497" s="30"/>
    </row>
    <row r="2498" ht="12.75">
      <c r="D2498" s="30"/>
    </row>
    <row r="2499" ht="12.75">
      <c r="D2499" s="30"/>
    </row>
    <row r="2500" ht="12.75">
      <c r="D2500" s="30"/>
    </row>
    <row r="2501" ht="12.75">
      <c r="D2501" s="30"/>
    </row>
    <row r="2502" ht="12.75">
      <c r="D2502" s="30"/>
    </row>
    <row r="2503" ht="12.75">
      <c r="D2503" s="30"/>
    </row>
    <row r="2504" ht="12.75">
      <c r="D2504" s="30"/>
    </row>
    <row r="2505" ht="12.75">
      <c r="D2505" s="30"/>
    </row>
    <row r="2506" ht="12.75">
      <c r="D2506" s="30"/>
    </row>
    <row r="2507" ht="12.75">
      <c r="D2507" s="30"/>
    </row>
    <row r="2508" ht="12.75">
      <c r="D2508" s="30"/>
    </row>
    <row r="2509" ht="12.75">
      <c r="D2509" s="30"/>
    </row>
    <row r="2510" ht="12.75">
      <c r="D2510" s="30"/>
    </row>
    <row r="2511" ht="12.75">
      <c r="D2511" s="30"/>
    </row>
    <row r="2512" ht="12.75">
      <c r="D2512" s="30"/>
    </row>
    <row r="2513" ht="12.75">
      <c r="D2513" s="30"/>
    </row>
    <row r="2514" ht="12.75">
      <c r="D2514" s="30"/>
    </row>
    <row r="2515" ht="12.75">
      <c r="D2515" s="30"/>
    </row>
    <row r="2516" ht="12.75">
      <c r="D2516" s="30"/>
    </row>
    <row r="2517" ht="12.75">
      <c r="D2517" s="30"/>
    </row>
    <row r="2518" ht="12.75">
      <c r="D2518" s="30"/>
    </row>
    <row r="2519" ht="12.75">
      <c r="D2519" s="30"/>
    </row>
    <row r="2520" ht="12.75">
      <c r="D2520" s="30"/>
    </row>
    <row r="2521" ht="12.75">
      <c r="D2521" s="30"/>
    </row>
    <row r="2522" ht="12.75">
      <c r="D2522" s="30"/>
    </row>
    <row r="2523" ht="12.75">
      <c r="D2523" s="30"/>
    </row>
    <row r="2524" ht="12.75">
      <c r="D2524" s="30"/>
    </row>
    <row r="2525" ht="12.75">
      <c r="D2525" s="30"/>
    </row>
    <row r="2526" ht="12.75">
      <c r="D2526" s="30"/>
    </row>
    <row r="2527" ht="12.75">
      <c r="D2527" s="30"/>
    </row>
    <row r="2528" ht="12.75">
      <c r="D2528" s="30"/>
    </row>
    <row r="2529" ht="12.75">
      <c r="D2529" s="30"/>
    </row>
    <row r="2530" ht="12.75">
      <c r="D2530" s="30"/>
    </row>
    <row r="2531" ht="12.75">
      <c r="D2531" s="30"/>
    </row>
    <row r="2532" ht="12.75">
      <c r="D2532" s="30"/>
    </row>
    <row r="2533" ht="12.75">
      <c r="D2533" s="30"/>
    </row>
    <row r="2534" ht="12.75">
      <c r="D2534" s="30"/>
    </row>
    <row r="2535" ht="12.75">
      <c r="D2535" s="30"/>
    </row>
    <row r="2536" ht="12.75">
      <c r="D2536" s="30"/>
    </row>
    <row r="2537" ht="12.75">
      <c r="D2537" s="30"/>
    </row>
    <row r="2538" ht="12.75">
      <c r="D2538" s="30"/>
    </row>
    <row r="2539" ht="12.75">
      <c r="D2539" s="30"/>
    </row>
    <row r="2540" ht="12.75">
      <c r="D2540" s="30"/>
    </row>
    <row r="2541" ht="12.75">
      <c r="D2541" s="30"/>
    </row>
    <row r="2542" ht="12.75">
      <c r="D2542" s="30"/>
    </row>
    <row r="2543" ht="12.75">
      <c r="D2543" s="30"/>
    </row>
    <row r="2544" ht="12.75">
      <c r="D2544" s="30"/>
    </row>
    <row r="2545" ht="12.75">
      <c r="D2545" s="30"/>
    </row>
    <row r="2546" ht="12.75">
      <c r="D2546" s="30"/>
    </row>
    <row r="2547" ht="12.75">
      <c r="D2547" s="30"/>
    </row>
    <row r="2548" ht="12.75">
      <c r="D2548" s="30"/>
    </row>
    <row r="2549" ht="12.75">
      <c r="D2549" s="30"/>
    </row>
    <row r="2550" ht="12.75">
      <c r="D2550" s="30"/>
    </row>
    <row r="2551" ht="12.75">
      <c r="D2551" s="30"/>
    </row>
    <row r="2552" ht="12.75">
      <c r="D2552" s="30"/>
    </row>
    <row r="2553" ht="12.75">
      <c r="D2553" s="30"/>
    </row>
    <row r="2554" ht="12.75">
      <c r="D2554" s="30"/>
    </row>
    <row r="2555" ht="12.75">
      <c r="D2555" s="30"/>
    </row>
    <row r="2556" ht="12.75">
      <c r="D2556" s="30"/>
    </row>
    <row r="2557" ht="12.75">
      <c r="D2557" s="30"/>
    </row>
    <row r="2558" ht="12.75">
      <c r="D2558" s="30"/>
    </row>
    <row r="2559" ht="12.75">
      <c r="D2559" s="30"/>
    </row>
    <row r="2560" ht="12.75">
      <c r="D2560" s="30"/>
    </row>
    <row r="2561" ht="12.75">
      <c r="D2561" s="30"/>
    </row>
    <row r="2562" ht="12.75">
      <c r="D2562" s="30"/>
    </row>
    <row r="2563" ht="12.75">
      <c r="D2563" s="30"/>
    </row>
    <row r="2564" ht="12.75">
      <c r="D2564" s="30"/>
    </row>
    <row r="2565" ht="12.75">
      <c r="D2565" s="30"/>
    </row>
    <row r="2566" ht="12.75">
      <c r="D2566" s="30"/>
    </row>
    <row r="2567" ht="12.75">
      <c r="D2567" s="30"/>
    </row>
    <row r="2568" ht="12.75">
      <c r="D2568" s="30"/>
    </row>
    <row r="2569" ht="12.75">
      <c r="D2569" s="30"/>
    </row>
    <row r="2570" ht="12.75">
      <c r="D2570" s="30"/>
    </row>
    <row r="2571" ht="12.75">
      <c r="D2571" s="30"/>
    </row>
    <row r="2572" ht="12.75">
      <c r="D2572" s="30"/>
    </row>
    <row r="2573" ht="12.75">
      <c r="D2573" s="30"/>
    </row>
    <row r="2574" ht="12.75">
      <c r="D2574" s="30"/>
    </row>
    <row r="2575" ht="12.75">
      <c r="D2575" s="30"/>
    </row>
    <row r="2576" ht="12.75">
      <c r="D2576" s="30"/>
    </row>
    <row r="2577" ht="12.75">
      <c r="D2577" s="30"/>
    </row>
    <row r="2578" ht="12.75">
      <c r="D2578" s="30"/>
    </row>
    <row r="2579" ht="12.75">
      <c r="D2579" s="30"/>
    </row>
    <row r="2580" ht="12.75">
      <c r="D2580" s="30"/>
    </row>
    <row r="2581" ht="12.75">
      <c r="D2581" s="30"/>
    </row>
    <row r="2582" ht="12.75">
      <c r="D2582" s="30"/>
    </row>
    <row r="2583" ht="12.75">
      <c r="D2583" s="30"/>
    </row>
    <row r="2584" ht="12.75">
      <c r="D2584" s="30"/>
    </row>
    <row r="2585" ht="12.75">
      <c r="D2585" s="30"/>
    </row>
    <row r="2586" ht="12.75">
      <c r="D2586" s="30"/>
    </row>
    <row r="2587" ht="12.75">
      <c r="D2587" s="30"/>
    </row>
    <row r="2588" ht="12.75">
      <c r="D2588" s="30"/>
    </row>
    <row r="2589" ht="12.75">
      <c r="D2589" s="30"/>
    </row>
    <row r="2590" ht="12.75">
      <c r="D2590" s="30"/>
    </row>
    <row r="2591" ht="12.75">
      <c r="D2591" s="30"/>
    </row>
    <row r="2592" ht="12.75">
      <c r="D2592" s="30"/>
    </row>
    <row r="2593" ht="12.75">
      <c r="D2593" s="30"/>
    </row>
    <row r="2594" ht="12.75">
      <c r="D2594" s="30"/>
    </row>
    <row r="2595" ht="12.75">
      <c r="D2595" s="30"/>
    </row>
    <row r="2596" ht="12.75">
      <c r="D2596" s="30"/>
    </row>
    <row r="2597" ht="12.75">
      <c r="D2597" s="30"/>
    </row>
    <row r="2598" ht="12.75">
      <c r="D2598" s="30"/>
    </row>
    <row r="2599" ht="12.75">
      <c r="D2599" s="30"/>
    </row>
    <row r="2600" ht="12.75">
      <c r="D2600" s="30"/>
    </row>
    <row r="2601" ht="12.75">
      <c r="D2601" s="30"/>
    </row>
    <row r="2602" ht="12.75">
      <c r="D2602" s="30"/>
    </row>
    <row r="2603" ht="12.75">
      <c r="D2603" s="30"/>
    </row>
    <row r="2604" ht="12.75">
      <c r="D2604" s="30"/>
    </row>
    <row r="2605" ht="12.75">
      <c r="D2605" s="30"/>
    </row>
    <row r="2606" ht="12.75">
      <c r="D2606" s="30"/>
    </row>
    <row r="2607" ht="12.75">
      <c r="D2607" s="30"/>
    </row>
    <row r="2608" ht="12.75">
      <c r="D2608" s="30"/>
    </row>
    <row r="2609" ht="12.75">
      <c r="D2609" s="30"/>
    </row>
    <row r="2610" ht="12.75">
      <c r="D2610" s="30"/>
    </row>
    <row r="2611" ht="12.75">
      <c r="D2611" s="30"/>
    </row>
    <row r="2612" ht="12.75">
      <c r="D2612" s="30"/>
    </row>
    <row r="2613" ht="12.75">
      <c r="D2613" s="30"/>
    </row>
    <row r="2614" ht="12.75">
      <c r="D2614" s="30"/>
    </row>
    <row r="2615" ht="12.75">
      <c r="D2615" s="30"/>
    </row>
    <row r="2616" ht="12.75">
      <c r="D2616" s="30"/>
    </row>
    <row r="2617" ht="12.75">
      <c r="D2617" s="30"/>
    </row>
    <row r="2618" ht="12.75">
      <c r="D2618" s="30"/>
    </row>
    <row r="2619" ht="12.75">
      <c r="D2619" s="30"/>
    </row>
    <row r="2620" ht="12.75">
      <c r="D2620" s="30"/>
    </row>
    <row r="2621" ht="12.75">
      <c r="D2621" s="30"/>
    </row>
    <row r="2622" ht="12.75">
      <c r="D2622" s="30"/>
    </row>
    <row r="2623" ht="12.75">
      <c r="D2623" s="30"/>
    </row>
    <row r="2624" ht="12.75">
      <c r="D2624" s="30"/>
    </row>
    <row r="2625" ht="12.75">
      <c r="D2625" s="30"/>
    </row>
    <row r="2626" ht="12.75">
      <c r="D2626" s="30"/>
    </row>
    <row r="2627" ht="12.75">
      <c r="D2627" s="30"/>
    </row>
    <row r="2628" ht="12.75">
      <c r="D2628" s="30"/>
    </row>
    <row r="2629" ht="12.75">
      <c r="D2629" s="30"/>
    </row>
    <row r="2630" ht="12.75">
      <c r="D2630" s="30"/>
    </row>
    <row r="2631" ht="12.75">
      <c r="D2631" s="30"/>
    </row>
    <row r="2632" ht="12.75">
      <c r="D2632" s="30"/>
    </row>
    <row r="2633" ht="12.75">
      <c r="D2633" s="30"/>
    </row>
    <row r="2634" ht="12.75">
      <c r="D2634" s="30"/>
    </row>
    <row r="2635" ht="12.75">
      <c r="D2635" s="30"/>
    </row>
    <row r="2636" ht="12.75">
      <c r="D2636" s="30"/>
    </row>
    <row r="2637" ht="12.75">
      <c r="D2637" s="30"/>
    </row>
    <row r="2638" ht="12.75">
      <c r="D2638" s="30"/>
    </row>
    <row r="2639" ht="12.75">
      <c r="D2639" s="30"/>
    </row>
    <row r="2640" ht="12.75">
      <c r="D2640" s="30"/>
    </row>
    <row r="2641" ht="12.75">
      <c r="D2641" s="30"/>
    </row>
    <row r="2642" ht="12.75">
      <c r="D2642" s="30"/>
    </row>
    <row r="2643" ht="12.75">
      <c r="D2643" s="30"/>
    </row>
    <row r="2644" ht="12.75">
      <c r="D2644" s="30"/>
    </row>
    <row r="2645" ht="12.75">
      <c r="D2645" s="30"/>
    </row>
    <row r="2646" ht="12.75">
      <c r="D2646" s="30"/>
    </row>
    <row r="2647" ht="12.75">
      <c r="D2647" s="30"/>
    </row>
    <row r="2648" ht="12.75">
      <c r="D2648" s="30"/>
    </row>
    <row r="2649" ht="12.75">
      <c r="D2649" s="30"/>
    </row>
    <row r="2650" ht="12.75">
      <c r="D2650" s="30"/>
    </row>
    <row r="2651" ht="12.75">
      <c r="D2651" s="30"/>
    </row>
    <row r="2652" ht="12.75">
      <c r="D2652" s="30"/>
    </row>
    <row r="2653" ht="12.75">
      <c r="D2653" s="30"/>
    </row>
    <row r="2654" ht="12.75">
      <c r="D2654" s="30"/>
    </row>
    <row r="2655" ht="12.75">
      <c r="D2655" s="30"/>
    </row>
    <row r="2656" ht="12.75">
      <c r="D2656" s="30"/>
    </row>
    <row r="2657" ht="12.75">
      <c r="D2657" s="30"/>
    </row>
    <row r="2658" ht="12.75">
      <c r="D2658" s="30"/>
    </row>
    <row r="2659" ht="12.75">
      <c r="D2659" s="30"/>
    </row>
    <row r="2660" ht="12.75">
      <c r="D2660" s="30"/>
    </row>
    <row r="2661" ht="12.75">
      <c r="D2661" s="30"/>
    </row>
    <row r="2662" ht="12.75">
      <c r="D2662" s="30"/>
    </row>
    <row r="2663" ht="12.75">
      <c r="D2663" s="30"/>
    </row>
    <row r="2664" ht="12.75">
      <c r="D2664" s="30"/>
    </row>
    <row r="2665" ht="12.75">
      <c r="D2665" s="30"/>
    </row>
    <row r="2666" ht="12.75">
      <c r="D2666" s="30"/>
    </row>
    <row r="2667" ht="12.75">
      <c r="D2667" s="30"/>
    </row>
    <row r="2668" ht="12.75">
      <c r="D2668" s="30"/>
    </row>
    <row r="2669" ht="12.75">
      <c r="D2669" s="30"/>
    </row>
    <row r="2670" ht="12.75">
      <c r="D2670" s="30"/>
    </row>
    <row r="2671" ht="12.75">
      <c r="D2671" s="30"/>
    </row>
    <row r="2672" ht="12.75">
      <c r="D2672" s="30"/>
    </row>
    <row r="2673" ht="12.75">
      <c r="D2673" s="30"/>
    </row>
    <row r="2674" ht="12.75">
      <c r="D2674" s="30"/>
    </row>
    <row r="2675" ht="12.75">
      <c r="D2675" s="30"/>
    </row>
    <row r="2676" ht="12.75">
      <c r="D2676" s="30"/>
    </row>
    <row r="2677" ht="12.75">
      <c r="D2677" s="30"/>
    </row>
    <row r="2678" ht="12.75">
      <c r="D2678" s="30"/>
    </row>
    <row r="2679" ht="12.75">
      <c r="D2679" s="30"/>
    </row>
    <row r="2680" ht="12.75">
      <c r="D2680" s="30"/>
    </row>
    <row r="2681" ht="12.75">
      <c r="D2681" s="30"/>
    </row>
    <row r="2682" ht="12.75">
      <c r="D2682" s="30"/>
    </row>
    <row r="2683" ht="12.75">
      <c r="D2683" s="30"/>
    </row>
    <row r="2684" ht="12.75">
      <c r="D2684" s="30"/>
    </row>
    <row r="2685" ht="12.75">
      <c r="D2685" s="30"/>
    </row>
    <row r="2686" ht="12.75">
      <c r="D2686" s="30"/>
    </row>
    <row r="2687" ht="12.75">
      <c r="D2687" s="30"/>
    </row>
    <row r="2688" ht="12.75">
      <c r="D2688" s="30"/>
    </row>
    <row r="2689" ht="12.75">
      <c r="D2689" s="30"/>
    </row>
    <row r="2690" ht="12.75">
      <c r="D2690" s="30"/>
    </row>
    <row r="2691" ht="12.75">
      <c r="D2691" s="30"/>
    </row>
    <row r="2692" ht="12.75">
      <c r="D2692" s="30"/>
    </row>
    <row r="2693" ht="12.75">
      <c r="D2693" s="30"/>
    </row>
    <row r="2694" ht="12.75">
      <c r="D2694" s="30"/>
    </row>
    <row r="2695" ht="12.75">
      <c r="D2695" s="30"/>
    </row>
    <row r="2696" ht="12.75">
      <c r="D2696" s="30"/>
    </row>
    <row r="2697" ht="12.75">
      <c r="D2697" s="30"/>
    </row>
    <row r="2698" ht="12.75">
      <c r="D2698" s="30"/>
    </row>
    <row r="2699" ht="12.75">
      <c r="D2699" s="30"/>
    </row>
    <row r="2700" ht="12.75">
      <c r="D2700" s="30"/>
    </row>
    <row r="2701" ht="12.75">
      <c r="D2701" s="30"/>
    </row>
    <row r="2702" ht="12.75">
      <c r="D2702" s="30"/>
    </row>
    <row r="2703" ht="12.75">
      <c r="D2703" s="30"/>
    </row>
    <row r="2704" ht="12.75">
      <c r="D2704" s="30"/>
    </row>
    <row r="2705" ht="12.75">
      <c r="D2705" s="30"/>
    </row>
    <row r="2706" ht="12.75">
      <c r="D2706" s="30"/>
    </row>
    <row r="2707" ht="12.75">
      <c r="D2707" s="30"/>
    </row>
    <row r="2708" ht="12.75">
      <c r="D2708" s="30"/>
    </row>
    <row r="2709" ht="12.75">
      <c r="D2709" s="30"/>
    </row>
    <row r="2710" ht="12.75">
      <c r="D2710" s="30"/>
    </row>
    <row r="2711" ht="12.75">
      <c r="D2711" s="30"/>
    </row>
    <row r="2712" ht="12.75">
      <c r="D2712" s="30"/>
    </row>
    <row r="2713" ht="12.75">
      <c r="D2713" s="30"/>
    </row>
    <row r="2714" ht="12.75">
      <c r="D2714" s="30"/>
    </row>
    <row r="2715" ht="12.75">
      <c r="D2715" s="30"/>
    </row>
    <row r="2716" ht="12.75">
      <c r="D2716" s="30"/>
    </row>
    <row r="2717" ht="12.75">
      <c r="D2717" s="30"/>
    </row>
    <row r="2718" ht="12.75">
      <c r="D2718" s="30"/>
    </row>
    <row r="2719" ht="12.75">
      <c r="D2719" s="30"/>
    </row>
    <row r="2720" ht="12.75">
      <c r="D2720" s="30"/>
    </row>
    <row r="2721" ht="12.75">
      <c r="D2721" s="30"/>
    </row>
    <row r="2722" ht="12.75">
      <c r="D2722" s="30"/>
    </row>
    <row r="2723" ht="12.75">
      <c r="D2723" s="30"/>
    </row>
    <row r="2724" ht="12.75">
      <c r="D2724" s="30"/>
    </row>
    <row r="2725" ht="12.75">
      <c r="D2725" s="30"/>
    </row>
    <row r="2726" ht="12.75">
      <c r="D2726" s="30"/>
    </row>
    <row r="2727" ht="12.75">
      <c r="D2727" s="30"/>
    </row>
    <row r="2728" ht="12.75">
      <c r="D2728" s="30"/>
    </row>
    <row r="2729" ht="12.75">
      <c r="D2729" s="30"/>
    </row>
    <row r="2730" ht="12.75">
      <c r="D2730" s="30"/>
    </row>
    <row r="2731" ht="12.75">
      <c r="D2731" s="30"/>
    </row>
    <row r="2732" ht="12.75">
      <c r="D2732" s="30"/>
    </row>
    <row r="2733" ht="12.75">
      <c r="D2733" s="30"/>
    </row>
    <row r="2734" ht="12.75">
      <c r="D2734" s="30"/>
    </row>
    <row r="2735" ht="12.75">
      <c r="D2735" s="30"/>
    </row>
    <row r="2736" ht="12.75">
      <c r="D2736" s="30"/>
    </row>
    <row r="2737" ht="12.75">
      <c r="D2737" s="30"/>
    </row>
    <row r="2738" ht="12.75">
      <c r="D2738" s="30"/>
    </row>
    <row r="2739" ht="12.75">
      <c r="D2739" s="30"/>
    </row>
    <row r="2740" ht="12.75">
      <c r="D2740" s="30"/>
    </row>
    <row r="2741" ht="12.75">
      <c r="D2741" s="30"/>
    </row>
    <row r="2742" ht="12.75">
      <c r="D2742" s="30"/>
    </row>
    <row r="2743" ht="12.75">
      <c r="D2743" s="30"/>
    </row>
    <row r="2744" ht="12.75">
      <c r="D2744" s="30"/>
    </row>
    <row r="2745" ht="12.75">
      <c r="D2745" s="30"/>
    </row>
    <row r="2746" ht="12.75">
      <c r="D2746" s="30"/>
    </row>
    <row r="2747" ht="12.75">
      <c r="D2747" s="30"/>
    </row>
    <row r="2748" ht="12.75">
      <c r="D2748" s="30"/>
    </row>
    <row r="2749" ht="12.75">
      <c r="D2749" s="30"/>
    </row>
    <row r="2750" ht="12.75">
      <c r="D2750" s="30"/>
    </row>
    <row r="2751" ht="12.75">
      <c r="D2751" s="30"/>
    </row>
    <row r="2752" ht="12.75">
      <c r="D2752" s="30"/>
    </row>
    <row r="2753" ht="12.75">
      <c r="D2753" s="30"/>
    </row>
    <row r="2754" ht="12.75">
      <c r="D2754" s="30"/>
    </row>
    <row r="2755" ht="12.75">
      <c r="D2755" s="30"/>
    </row>
    <row r="2756" ht="12.75">
      <c r="D2756" s="30"/>
    </row>
    <row r="2757" ht="12.75">
      <c r="D2757" s="30"/>
    </row>
    <row r="2758" ht="12.75">
      <c r="D2758" s="30"/>
    </row>
    <row r="2759" ht="12.75">
      <c r="D2759" s="30"/>
    </row>
    <row r="2760" ht="12.75">
      <c r="D2760" s="30"/>
    </row>
    <row r="2761" ht="12.75">
      <c r="D2761" s="30"/>
    </row>
    <row r="2762" ht="12.75">
      <c r="D2762" s="30"/>
    </row>
    <row r="2763" ht="12.75">
      <c r="D2763" s="30"/>
    </row>
    <row r="2764" ht="12.75">
      <c r="D2764" s="30"/>
    </row>
    <row r="2765" ht="12.75">
      <c r="D2765" s="30"/>
    </row>
    <row r="2766" ht="12.75">
      <c r="D2766" s="30"/>
    </row>
    <row r="2767" ht="12.75">
      <c r="D2767" s="30"/>
    </row>
    <row r="2768" ht="12.75">
      <c r="D2768" s="30"/>
    </row>
    <row r="2769" ht="12.75">
      <c r="D2769" s="30"/>
    </row>
    <row r="2770" ht="12.75">
      <c r="D2770" s="30"/>
    </row>
    <row r="2771" ht="12.75">
      <c r="D2771" s="30"/>
    </row>
    <row r="2772" ht="12.75">
      <c r="D2772" s="30"/>
    </row>
    <row r="2773" ht="12.75">
      <c r="D2773" s="30"/>
    </row>
    <row r="2774" ht="12.75">
      <c r="D2774" s="30"/>
    </row>
    <row r="2775" ht="12.75">
      <c r="D2775" s="30"/>
    </row>
    <row r="2776" ht="12.75">
      <c r="D2776" s="30"/>
    </row>
    <row r="2777" ht="12.75">
      <c r="D2777" s="30"/>
    </row>
    <row r="2778" ht="12.75">
      <c r="D2778" s="30"/>
    </row>
    <row r="2779" ht="12.75">
      <c r="D2779" s="30"/>
    </row>
    <row r="2780" ht="12.75">
      <c r="D2780" s="30"/>
    </row>
    <row r="2781" ht="12.75">
      <c r="D2781" s="30"/>
    </row>
    <row r="2782" ht="12.75">
      <c r="D2782" s="30"/>
    </row>
    <row r="2783" ht="12.75">
      <c r="D2783" s="30"/>
    </row>
    <row r="2784" ht="12.75">
      <c r="D2784" s="30"/>
    </row>
    <row r="2785" ht="12.75">
      <c r="D2785" s="30"/>
    </row>
    <row r="2786" ht="12.75">
      <c r="D2786" s="30"/>
    </row>
    <row r="2787" ht="12.75">
      <c r="D2787" s="30"/>
    </row>
    <row r="2788" ht="12.75">
      <c r="D2788" s="30"/>
    </row>
    <row r="2789" ht="12.75">
      <c r="D2789" s="30"/>
    </row>
    <row r="2790" ht="12.75">
      <c r="D2790" s="30"/>
    </row>
    <row r="2791" ht="12.75">
      <c r="D2791" s="30"/>
    </row>
    <row r="2792" ht="12.75">
      <c r="D2792" s="30"/>
    </row>
    <row r="2793" ht="12.75">
      <c r="D2793" s="30"/>
    </row>
    <row r="2794" ht="12.75">
      <c r="D2794" s="30"/>
    </row>
    <row r="2795" ht="12.75">
      <c r="D2795" s="30"/>
    </row>
    <row r="2796" ht="12.75">
      <c r="D2796" s="30"/>
    </row>
    <row r="2797" ht="12.75">
      <c r="D2797" s="30"/>
    </row>
    <row r="2798" ht="12.75">
      <c r="D2798" s="30"/>
    </row>
    <row r="2799" ht="12.75">
      <c r="D2799" s="30"/>
    </row>
    <row r="2800" ht="12.75">
      <c r="D2800" s="30"/>
    </row>
    <row r="2801" ht="12.75">
      <c r="D2801" s="30"/>
    </row>
    <row r="2802" ht="12.75">
      <c r="D2802" s="30"/>
    </row>
    <row r="2803" ht="12.75">
      <c r="D2803" s="30"/>
    </row>
    <row r="2804" ht="12.75">
      <c r="D2804" s="30"/>
    </row>
    <row r="2805" ht="12.75">
      <c r="D2805" s="30"/>
    </row>
    <row r="2806" ht="12.75">
      <c r="D2806" s="30"/>
    </row>
    <row r="2807" ht="12.75">
      <c r="D2807" s="30"/>
    </row>
    <row r="2808" ht="12.75">
      <c r="D2808" s="30"/>
    </row>
    <row r="2809" ht="12.75">
      <c r="D2809" s="30"/>
    </row>
    <row r="2810" ht="12.75">
      <c r="D2810" s="30"/>
    </row>
    <row r="2811" ht="12.75">
      <c r="D2811" s="30"/>
    </row>
    <row r="2812" ht="12.75">
      <c r="D2812" s="30"/>
    </row>
    <row r="2813" ht="12.75">
      <c r="D2813" s="30"/>
    </row>
    <row r="2814" ht="12.75">
      <c r="D2814" s="30"/>
    </row>
    <row r="2815" ht="12.75">
      <c r="D2815" s="30"/>
    </row>
    <row r="2816" ht="12.75">
      <c r="D2816" s="30"/>
    </row>
    <row r="2817" ht="12.75">
      <c r="D2817" s="30"/>
    </row>
    <row r="2818" ht="12.75">
      <c r="D2818" s="30"/>
    </row>
    <row r="2819" ht="12.75">
      <c r="D2819" s="30"/>
    </row>
    <row r="2820" ht="12.75">
      <c r="D2820" s="30"/>
    </row>
    <row r="2821" ht="12.75">
      <c r="D2821" s="30"/>
    </row>
    <row r="2822" ht="12.75">
      <c r="D2822" s="30"/>
    </row>
    <row r="2823" ht="12.75">
      <c r="D2823" s="30"/>
    </row>
    <row r="2824" ht="12.75">
      <c r="D2824" s="30"/>
    </row>
    <row r="2825" ht="12.75">
      <c r="D2825" s="30"/>
    </row>
    <row r="2826" ht="12.75">
      <c r="D2826" s="30"/>
    </row>
    <row r="2827" ht="12.75">
      <c r="D2827" s="30"/>
    </row>
    <row r="2828" ht="12.75">
      <c r="D2828" s="30"/>
    </row>
    <row r="2829" ht="12.75">
      <c r="D2829" s="30"/>
    </row>
    <row r="2830" ht="12.75">
      <c r="D2830" s="30"/>
    </row>
    <row r="2831" ht="12.75">
      <c r="D2831" s="30"/>
    </row>
    <row r="2832" ht="12.75">
      <c r="D2832" s="30"/>
    </row>
    <row r="2833" ht="12.75">
      <c r="D2833" s="30"/>
    </row>
    <row r="2834" ht="12.75">
      <c r="D2834" s="30"/>
    </row>
    <row r="2835" ht="12.75">
      <c r="D2835" s="30"/>
    </row>
    <row r="2836" ht="12.75">
      <c r="D2836" s="30"/>
    </row>
    <row r="2837" ht="12.75">
      <c r="D2837" s="30"/>
    </row>
    <row r="2838" ht="12.75">
      <c r="D2838" s="30"/>
    </row>
    <row r="2839" ht="12.75">
      <c r="D2839" s="30"/>
    </row>
    <row r="2840" ht="12.75">
      <c r="D2840" s="30"/>
    </row>
    <row r="2841" ht="12.75">
      <c r="D2841" s="30"/>
    </row>
    <row r="2842" ht="12.75">
      <c r="D2842" s="30"/>
    </row>
    <row r="2843" ht="12.75">
      <c r="D2843" s="30"/>
    </row>
    <row r="2844" ht="12.75">
      <c r="D2844" s="30"/>
    </row>
    <row r="2845" ht="12.75">
      <c r="D2845" s="30"/>
    </row>
    <row r="2846" ht="12.75">
      <c r="D2846" s="30"/>
    </row>
    <row r="2847" ht="12.75">
      <c r="D2847" s="30"/>
    </row>
    <row r="2848" ht="12.75">
      <c r="D2848" s="30"/>
    </row>
    <row r="2849" ht="12.75">
      <c r="D2849" s="30"/>
    </row>
    <row r="2850" ht="12.75">
      <c r="D2850" s="30"/>
    </row>
    <row r="2851" ht="12.75">
      <c r="D2851" s="30"/>
    </row>
    <row r="2852" ht="12.75">
      <c r="D2852" s="30"/>
    </row>
    <row r="2853" ht="12.75">
      <c r="D2853" s="30"/>
    </row>
    <row r="2854" ht="12.75">
      <c r="D2854" s="30"/>
    </row>
    <row r="2855" ht="12.75">
      <c r="D2855" s="30"/>
    </row>
    <row r="2856" ht="12.75">
      <c r="D2856" s="30"/>
    </row>
    <row r="2857" ht="12.75">
      <c r="D2857" s="30"/>
    </row>
    <row r="2858" ht="12.75">
      <c r="D2858" s="30"/>
    </row>
    <row r="2859" ht="12.75">
      <c r="D2859" s="30"/>
    </row>
    <row r="2860" ht="12.75">
      <c r="D2860" s="30"/>
    </row>
    <row r="2861" ht="12.75">
      <c r="D2861" s="30"/>
    </row>
    <row r="2862" ht="12.75">
      <c r="D2862" s="30"/>
    </row>
    <row r="2863" ht="12.75">
      <c r="D2863" s="30"/>
    </row>
    <row r="2864" ht="12.75">
      <c r="D2864" s="30"/>
    </row>
    <row r="2865" ht="12.75">
      <c r="D2865" s="30"/>
    </row>
    <row r="2866" ht="12.75">
      <c r="D2866" s="30"/>
    </row>
    <row r="2867" ht="12.75">
      <c r="D2867" s="30"/>
    </row>
    <row r="2868" ht="12.75">
      <c r="D2868" s="30"/>
    </row>
    <row r="2869" ht="12.75">
      <c r="D2869" s="30"/>
    </row>
    <row r="2870" ht="12.75">
      <c r="D2870" s="30"/>
    </row>
    <row r="2871" ht="12.75">
      <c r="D2871" s="30"/>
    </row>
    <row r="2872" ht="12.75">
      <c r="D2872" s="30"/>
    </row>
    <row r="2873" ht="12.75">
      <c r="D2873" s="30"/>
    </row>
    <row r="2874" ht="12.75">
      <c r="D2874" s="30"/>
    </row>
    <row r="2875" ht="12.75">
      <c r="D2875" s="30"/>
    </row>
    <row r="2876" ht="12.75">
      <c r="D2876" s="30"/>
    </row>
    <row r="2877" ht="12.75">
      <c r="D2877" s="30"/>
    </row>
    <row r="2878" ht="12.75">
      <c r="D2878" s="30"/>
    </row>
    <row r="2879" ht="12.75">
      <c r="D2879" s="30"/>
    </row>
    <row r="2880" ht="12.75">
      <c r="D2880" s="30"/>
    </row>
    <row r="2881" ht="12.75">
      <c r="D2881" s="30"/>
    </row>
    <row r="2882" ht="12.75">
      <c r="D2882" s="30"/>
    </row>
    <row r="2883" ht="12.75">
      <c r="D2883" s="30"/>
    </row>
    <row r="2884" ht="12.75">
      <c r="D2884" s="30"/>
    </row>
    <row r="2885" ht="12.75">
      <c r="D2885" s="30"/>
    </row>
    <row r="2886" ht="12.75">
      <c r="D2886" s="30"/>
    </row>
    <row r="2887" ht="12.75">
      <c r="D2887" s="30"/>
    </row>
    <row r="2888" ht="12.75">
      <c r="D2888" s="30"/>
    </row>
    <row r="2889" ht="12.75">
      <c r="D2889" s="30"/>
    </row>
    <row r="2890" ht="12.75">
      <c r="D2890" s="30"/>
    </row>
    <row r="2891" ht="12.75">
      <c r="D2891" s="30"/>
    </row>
    <row r="2892" ht="12.75">
      <c r="D2892" s="30"/>
    </row>
    <row r="2893" ht="12.75">
      <c r="D2893" s="30"/>
    </row>
    <row r="2894" ht="12.75">
      <c r="D2894" s="30"/>
    </row>
    <row r="2895" ht="12.75">
      <c r="D2895" s="30"/>
    </row>
    <row r="2896" ht="12.75">
      <c r="D2896" s="30"/>
    </row>
    <row r="2897" ht="12.75">
      <c r="D2897" s="30"/>
    </row>
    <row r="2898" ht="12.75">
      <c r="D2898" s="30"/>
    </row>
    <row r="2899" ht="12.75">
      <c r="D2899" s="30"/>
    </row>
    <row r="2900" ht="12.75">
      <c r="D2900" s="30"/>
    </row>
    <row r="2901" ht="12.75">
      <c r="D2901" s="30"/>
    </row>
    <row r="2902" ht="12.75">
      <c r="D2902" s="30"/>
    </row>
    <row r="2903" ht="12.75">
      <c r="D2903" s="30"/>
    </row>
    <row r="2904" ht="12.75">
      <c r="D2904" s="30"/>
    </row>
    <row r="2905" ht="12.75">
      <c r="D2905" s="30"/>
    </row>
    <row r="2906" ht="12.75">
      <c r="D2906" s="30"/>
    </row>
    <row r="2907" ht="12.75">
      <c r="D2907" s="30"/>
    </row>
    <row r="2908" ht="12.75">
      <c r="D2908" s="30"/>
    </row>
    <row r="2909" ht="12.75">
      <c r="D2909" s="30"/>
    </row>
    <row r="2910" ht="12.75">
      <c r="D2910" s="30"/>
    </row>
    <row r="2911" ht="12.75">
      <c r="D2911" s="30"/>
    </row>
    <row r="2912" ht="12.75">
      <c r="D2912" s="30"/>
    </row>
    <row r="2913" ht="12.75">
      <c r="D2913" s="30"/>
    </row>
    <row r="2914" ht="12.75">
      <c r="D2914" s="30"/>
    </row>
    <row r="2915" ht="12.75">
      <c r="D2915" s="30"/>
    </row>
    <row r="2916" ht="12.75">
      <c r="D2916" s="30"/>
    </row>
    <row r="2917" ht="12.75">
      <c r="D2917" s="30"/>
    </row>
    <row r="2918" ht="12.75">
      <c r="D2918" s="30"/>
    </row>
    <row r="2919" ht="12.75">
      <c r="D2919" s="30"/>
    </row>
    <row r="2920" ht="12.75">
      <c r="D2920" s="30"/>
    </row>
    <row r="2921" ht="12.75">
      <c r="D2921" s="30"/>
    </row>
    <row r="2922" ht="12.75">
      <c r="D2922" s="30"/>
    </row>
    <row r="2923" ht="12.75">
      <c r="D2923" s="30"/>
    </row>
    <row r="2924" ht="12.75">
      <c r="D2924" s="30"/>
    </row>
    <row r="2925" ht="12.75">
      <c r="D2925" s="30"/>
    </row>
    <row r="2926" ht="12.75">
      <c r="D2926" s="30"/>
    </row>
    <row r="2927" ht="12.75">
      <c r="D2927" s="30"/>
    </row>
    <row r="2928" ht="12.75">
      <c r="D2928" s="30"/>
    </row>
    <row r="2929" ht="12.75">
      <c r="D2929" s="30"/>
    </row>
    <row r="2930" ht="12.75">
      <c r="D2930" s="30"/>
    </row>
    <row r="2931" ht="12.75">
      <c r="D2931" s="30"/>
    </row>
    <row r="2932" ht="12.75">
      <c r="D2932" s="30"/>
    </row>
    <row r="2933" ht="12.75">
      <c r="D2933" s="30"/>
    </row>
    <row r="2934" ht="12.75">
      <c r="D2934" s="30"/>
    </row>
    <row r="2935" ht="12.75">
      <c r="D2935" s="30"/>
    </row>
    <row r="2936" ht="12.75">
      <c r="D2936" s="30"/>
    </row>
    <row r="2937" ht="12.75">
      <c r="D2937" s="30"/>
    </row>
    <row r="2938" ht="12.75">
      <c r="D2938" s="30"/>
    </row>
    <row r="2939" ht="12.75">
      <c r="D2939" s="30"/>
    </row>
    <row r="2940" ht="12.75">
      <c r="D2940" s="30"/>
    </row>
    <row r="2941" ht="12.75">
      <c r="D2941" s="30"/>
    </row>
    <row r="2942" ht="12.75">
      <c r="D2942" s="30"/>
    </row>
    <row r="2943" ht="12.75">
      <c r="D2943" s="30"/>
    </row>
    <row r="2944" ht="12.75">
      <c r="D2944" s="30"/>
    </row>
    <row r="2945" ht="12.75">
      <c r="D2945" s="30"/>
    </row>
    <row r="2946" ht="12.75">
      <c r="D2946" s="30"/>
    </row>
    <row r="2947" ht="12.75">
      <c r="D2947" s="30"/>
    </row>
    <row r="2948" ht="12.75">
      <c r="D2948" s="30"/>
    </row>
    <row r="2949" ht="12.75">
      <c r="D2949" s="30"/>
    </row>
    <row r="2950" ht="12.75">
      <c r="D2950" s="30"/>
    </row>
    <row r="2951" ht="12.75">
      <c r="D2951" s="30"/>
    </row>
    <row r="2952" ht="12.75">
      <c r="D2952" s="30"/>
    </row>
    <row r="2953" ht="12.75">
      <c r="D2953" s="30"/>
    </row>
    <row r="2954" ht="12.75">
      <c r="D2954" s="30"/>
    </row>
    <row r="2955" ht="12.75">
      <c r="D2955" s="30"/>
    </row>
    <row r="2956" ht="12.75">
      <c r="D2956" s="30"/>
    </row>
    <row r="2957" ht="12.75">
      <c r="D2957" s="30"/>
    </row>
    <row r="2958" ht="12.75">
      <c r="D2958" s="30"/>
    </row>
    <row r="2959" ht="12.75">
      <c r="D2959" s="30"/>
    </row>
    <row r="2960" ht="12.75">
      <c r="D2960" s="30"/>
    </row>
    <row r="2961" ht="12.75">
      <c r="D2961" s="30"/>
    </row>
    <row r="2962" ht="12.75">
      <c r="D2962" s="30"/>
    </row>
    <row r="2963" ht="12.75">
      <c r="D2963" s="30"/>
    </row>
    <row r="2964" ht="12.75">
      <c r="D2964" s="30"/>
    </row>
    <row r="2965" ht="12.75">
      <c r="D2965" s="30"/>
    </row>
    <row r="2966" ht="12.75">
      <c r="D2966" s="30"/>
    </row>
    <row r="2967" ht="12.75">
      <c r="D2967" s="30"/>
    </row>
    <row r="2968" ht="12.75">
      <c r="D2968" s="30"/>
    </row>
    <row r="2969" ht="12.75">
      <c r="D2969" s="30"/>
    </row>
    <row r="2970" ht="12.75">
      <c r="D2970" s="30"/>
    </row>
    <row r="2971" ht="12.75">
      <c r="D2971" s="30"/>
    </row>
    <row r="2972" ht="12.75">
      <c r="D2972" s="30"/>
    </row>
    <row r="2973" ht="12.75">
      <c r="D2973" s="30"/>
    </row>
    <row r="2974" ht="12.75">
      <c r="D2974" s="30"/>
    </row>
    <row r="2975" ht="12.75">
      <c r="D2975" s="30"/>
    </row>
    <row r="2976" ht="12.75">
      <c r="D2976" s="30"/>
    </row>
    <row r="2977" ht="12.75">
      <c r="D2977" s="30"/>
    </row>
    <row r="2978" ht="12.75">
      <c r="D2978" s="30"/>
    </row>
    <row r="2979" ht="12.75">
      <c r="D2979" s="30"/>
    </row>
    <row r="2980" ht="12.75">
      <c r="D2980" s="30"/>
    </row>
    <row r="2981" ht="12.75">
      <c r="D2981" s="30"/>
    </row>
    <row r="2982" ht="12.75">
      <c r="D2982" s="30"/>
    </row>
    <row r="2983" ht="12.75">
      <c r="D2983" s="30"/>
    </row>
    <row r="2984" ht="12.75">
      <c r="D2984" s="30"/>
    </row>
    <row r="2985" ht="12.75">
      <c r="D2985" s="30"/>
    </row>
    <row r="2986" ht="12.75">
      <c r="D2986" s="30"/>
    </row>
    <row r="2987" ht="12.75">
      <c r="D2987" s="30"/>
    </row>
    <row r="2988" ht="12.75">
      <c r="D2988" s="30"/>
    </row>
    <row r="2989" ht="12.75">
      <c r="D2989" s="30"/>
    </row>
    <row r="2990" ht="12.75">
      <c r="D2990" s="30"/>
    </row>
    <row r="2991" ht="12.75">
      <c r="D2991" s="30"/>
    </row>
    <row r="2992" ht="12.75">
      <c r="D2992" s="30"/>
    </row>
    <row r="2993" ht="12.75">
      <c r="D2993" s="30"/>
    </row>
    <row r="2994" ht="12.75">
      <c r="D2994" s="30"/>
    </row>
    <row r="2995" ht="12.75">
      <c r="D2995" s="30"/>
    </row>
    <row r="2996" ht="12.75">
      <c r="D2996" s="30"/>
    </row>
    <row r="2997" ht="12.75">
      <c r="D2997" s="30"/>
    </row>
    <row r="2998" ht="12.75">
      <c r="D2998" s="30"/>
    </row>
    <row r="2999" ht="12.75">
      <c r="D2999" s="30"/>
    </row>
    <row r="3000" ht="12.75">
      <c r="D3000" s="30"/>
    </row>
    <row r="3001" ht="12.75">
      <c r="D3001" s="30"/>
    </row>
    <row r="3002" ht="12.75">
      <c r="D3002" s="30"/>
    </row>
    <row r="3003" ht="12.75">
      <c r="D3003" s="30"/>
    </row>
    <row r="3004" ht="12.75">
      <c r="D3004" s="30"/>
    </row>
    <row r="3005" ht="12.75">
      <c r="D3005" s="30"/>
    </row>
    <row r="3006" ht="12.75">
      <c r="D3006" s="30"/>
    </row>
    <row r="3007" ht="12.75">
      <c r="D3007" s="30"/>
    </row>
    <row r="3008" ht="12.75">
      <c r="D3008" s="30"/>
    </row>
    <row r="3009" ht="12.75">
      <c r="D3009" s="30"/>
    </row>
    <row r="3010" ht="12.75">
      <c r="D3010" s="30"/>
    </row>
    <row r="3011" ht="12.75">
      <c r="D3011" s="30"/>
    </row>
    <row r="3012" ht="12.75">
      <c r="D3012" s="30"/>
    </row>
    <row r="3013" ht="12.75">
      <c r="D3013" s="30"/>
    </row>
    <row r="3014" ht="12.75">
      <c r="D3014" s="30"/>
    </row>
    <row r="3015" ht="12.75">
      <c r="D3015" s="30"/>
    </row>
    <row r="3016" ht="12.75">
      <c r="D3016" s="30"/>
    </row>
    <row r="3017" ht="12.75">
      <c r="D3017" s="30"/>
    </row>
    <row r="3018" ht="12.75">
      <c r="D3018" s="30"/>
    </row>
    <row r="3019" ht="12.75">
      <c r="D3019" s="30"/>
    </row>
    <row r="3020" ht="12.75">
      <c r="D3020" s="30"/>
    </row>
    <row r="3021" ht="12.75">
      <c r="D3021" s="30"/>
    </row>
    <row r="3022" ht="12.75">
      <c r="D3022" s="30"/>
    </row>
    <row r="3023" ht="12.75">
      <c r="D3023" s="30"/>
    </row>
    <row r="3024" ht="12.75">
      <c r="D3024" s="30"/>
    </row>
    <row r="3025" ht="12.75">
      <c r="D3025" s="30"/>
    </row>
    <row r="3026" ht="12.75">
      <c r="D3026" s="30"/>
    </row>
    <row r="3027" ht="12.75">
      <c r="D3027" s="30"/>
    </row>
    <row r="3028" ht="12.75">
      <c r="D3028" s="30"/>
    </row>
    <row r="3029" ht="12.75">
      <c r="D3029" s="30"/>
    </row>
    <row r="3030" ht="12.75">
      <c r="D3030" s="30"/>
    </row>
    <row r="3031" ht="12.75">
      <c r="D3031" s="30"/>
    </row>
    <row r="3032" ht="12.75">
      <c r="D3032" s="30"/>
    </row>
    <row r="3033" ht="12.75">
      <c r="D3033" s="30"/>
    </row>
    <row r="3034" ht="12.75">
      <c r="D3034" s="30"/>
    </row>
    <row r="3035" ht="12.75">
      <c r="D3035" s="30"/>
    </row>
    <row r="3036" ht="12.75">
      <c r="D3036" s="30"/>
    </row>
    <row r="3037" ht="12.75">
      <c r="D3037" s="30"/>
    </row>
    <row r="3038" ht="12.75">
      <c r="D3038" s="30"/>
    </row>
    <row r="3039" ht="12.75">
      <c r="D3039" s="30"/>
    </row>
    <row r="3040" ht="12.75">
      <c r="D3040" s="30"/>
    </row>
    <row r="3041" ht="12.75">
      <c r="D3041" s="30"/>
    </row>
    <row r="3042" ht="12.75">
      <c r="D3042" s="30"/>
    </row>
    <row r="3043" ht="12.75">
      <c r="D3043" s="30"/>
    </row>
    <row r="3044" ht="12.75">
      <c r="D3044" s="30"/>
    </row>
    <row r="3045" ht="12.75">
      <c r="D3045" s="30"/>
    </row>
    <row r="3046" ht="12.75">
      <c r="D3046" s="30"/>
    </row>
    <row r="3047" ht="12.75">
      <c r="D3047" s="30"/>
    </row>
    <row r="3048" ht="12.75">
      <c r="D3048" s="30"/>
    </row>
    <row r="3049" ht="12.75">
      <c r="D3049" s="30"/>
    </row>
    <row r="3050" ht="12.75">
      <c r="D3050" s="30"/>
    </row>
    <row r="3051" ht="12.75">
      <c r="D3051" s="30"/>
    </row>
    <row r="3052" ht="12.75">
      <c r="D3052" s="30"/>
    </row>
    <row r="3053" ht="12.75">
      <c r="D3053" s="30"/>
    </row>
    <row r="3054" ht="12.75">
      <c r="D3054" s="30"/>
    </row>
    <row r="3055" ht="12.75">
      <c r="D3055" s="30"/>
    </row>
    <row r="3056" ht="12.75">
      <c r="D3056" s="30"/>
    </row>
    <row r="3057" ht="12.75">
      <c r="D3057" s="30"/>
    </row>
    <row r="3058" ht="12.75">
      <c r="D3058" s="30"/>
    </row>
    <row r="3059" ht="12.75">
      <c r="D3059" s="30"/>
    </row>
    <row r="3060" ht="12.75">
      <c r="D3060" s="30"/>
    </row>
    <row r="3061" ht="12.75">
      <c r="D3061" s="30"/>
    </row>
    <row r="3062" ht="12.75">
      <c r="D3062" s="30"/>
    </row>
    <row r="3063" ht="12.75">
      <c r="D3063" s="30"/>
    </row>
    <row r="3064" ht="12.75">
      <c r="D3064" s="30"/>
    </row>
    <row r="3065" ht="12.75">
      <c r="D3065" s="30"/>
    </row>
    <row r="3066" ht="12.75">
      <c r="D3066" s="30"/>
    </row>
    <row r="3067" ht="12.75">
      <c r="D3067" s="30"/>
    </row>
    <row r="3068" ht="12.75">
      <c r="D3068" s="30"/>
    </row>
    <row r="3069" ht="12.75">
      <c r="D3069" s="30"/>
    </row>
    <row r="3070" ht="12.75">
      <c r="D3070" s="30"/>
    </row>
    <row r="3071" ht="12.75">
      <c r="D3071" s="30"/>
    </row>
    <row r="3072" ht="12.75">
      <c r="D3072" s="30"/>
    </row>
    <row r="3073" ht="12.75">
      <c r="D3073" s="30"/>
    </row>
    <row r="3074" ht="12.75">
      <c r="D3074" s="30"/>
    </row>
    <row r="3075" ht="12.75">
      <c r="D3075" s="30"/>
    </row>
    <row r="3076" ht="12.75">
      <c r="D3076" s="30"/>
    </row>
    <row r="3077" ht="12.75">
      <c r="D3077" s="30"/>
    </row>
    <row r="3078" ht="12.75">
      <c r="D3078" s="30"/>
    </row>
    <row r="3079" ht="12.75">
      <c r="D3079" s="30"/>
    </row>
    <row r="3080" ht="12.75">
      <c r="D3080" s="30"/>
    </row>
    <row r="3081" ht="12.75">
      <c r="D3081" s="30"/>
    </row>
    <row r="3082" ht="12.75">
      <c r="D3082" s="30"/>
    </row>
    <row r="3083" ht="12.75">
      <c r="D3083" s="30"/>
    </row>
    <row r="3084" ht="12.75">
      <c r="D3084" s="30"/>
    </row>
    <row r="3085" ht="12.75">
      <c r="D3085" s="30"/>
    </row>
    <row r="3086" ht="12.75">
      <c r="D3086" s="30"/>
    </row>
    <row r="3087" ht="12.75">
      <c r="D3087" s="30"/>
    </row>
    <row r="3088" ht="12.75">
      <c r="D3088" s="30"/>
    </row>
    <row r="3089" ht="12.75">
      <c r="D3089" s="30"/>
    </row>
    <row r="3090" ht="12.75">
      <c r="D3090" s="30"/>
    </row>
    <row r="3091" ht="12.75">
      <c r="D3091" s="30"/>
    </row>
    <row r="3092" ht="12.75">
      <c r="D3092" s="30"/>
    </row>
    <row r="3093" ht="12.75">
      <c r="D3093" s="30"/>
    </row>
    <row r="3094" ht="12.75">
      <c r="D3094" s="30"/>
    </row>
    <row r="3095" ht="12.75">
      <c r="D3095" s="30"/>
    </row>
    <row r="3096" ht="12.75">
      <c r="D3096" s="30"/>
    </row>
    <row r="3097" ht="12.75">
      <c r="D3097" s="30"/>
    </row>
    <row r="3098" ht="12.75">
      <c r="D3098" s="30"/>
    </row>
    <row r="3099" ht="12.75">
      <c r="D3099" s="30"/>
    </row>
    <row r="3100" ht="12.75">
      <c r="D3100" s="30"/>
    </row>
    <row r="3101" ht="12.75">
      <c r="D3101" s="30"/>
    </row>
    <row r="3102" ht="12.75">
      <c r="D3102" s="30"/>
    </row>
    <row r="3103" ht="12.75">
      <c r="D3103" s="30"/>
    </row>
    <row r="3104" ht="12.75">
      <c r="D3104" s="30"/>
    </row>
    <row r="3105" ht="12.75">
      <c r="D3105" s="30"/>
    </row>
    <row r="3106" ht="12.75">
      <c r="D3106" s="30"/>
    </row>
    <row r="3107" ht="12.75">
      <c r="D3107" s="30"/>
    </row>
    <row r="3108" ht="12.75">
      <c r="D3108" s="30"/>
    </row>
    <row r="3109" ht="12.75">
      <c r="D3109" s="30"/>
    </row>
    <row r="3110" ht="12.75">
      <c r="D3110" s="30"/>
    </row>
    <row r="3111" ht="12.75">
      <c r="D3111" s="30"/>
    </row>
    <row r="3112" ht="12.75">
      <c r="D3112" s="30"/>
    </row>
    <row r="3113" ht="12.75">
      <c r="D3113" s="30"/>
    </row>
    <row r="3114" ht="12.75">
      <c r="D3114" s="30"/>
    </row>
    <row r="3115" ht="12.75">
      <c r="D3115" s="30"/>
    </row>
    <row r="3116" ht="12.75">
      <c r="D3116" s="30"/>
    </row>
    <row r="3117" ht="12.75">
      <c r="D3117" s="30"/>
    </row>
    <row r="3118" ht="12.75">
      <c r="D3118" s="30"/>
    </row>
    <row r="3119" ht="12.75">
      <c r="D3119" s="30"/>
    </row>
    <row r="3120" ht="12.75">
      <c r="D3120" s="30"/>
    </row>
    <row r="3121" ht="12.75">
      <c r="D3121" s="30"/>
    </row>
    <row r="3122" ht="12.75">
      <c r="D3122" s="30"/>
    </row>
    <row r="3123" ht="12.75">
      <c r="D3123" s="30"/>
    </row>
    <row r="3124" ht="12.75">
      <c r="D3124" s="30"/>
    </row>
    <row r="3125" ht="12.75">
      <c r="D3125" s="30"/>
    </row>
    <row r="3126" ht="12.75">
      <c r="D3126" s="30"/>
    </row>
    <row r="3127" ht="12.75">
      <c r="D3127" s="30"/>
    </row>
    <row r="3128" ht="12.75">
      <c r="D3128" s="30"/>
    </row>
    <row r="3129" ht="12.75">
      <c r="D3129" s="30"/>
    </row>
    <row r="3130" ht="12.75">
      <c r="D3130" s="30"/>
    </row>
    <row r="3131" ht="12.75">
      <c r="D3131" s="30"/>
    </row>
    <row r="3132" ht="12.75">
      <c r="D3132" s="30"/>
    </row>
    <row r="3133" ht="12.75">
      <c r="D3133" s="30"/>
    </row>
    <row r="3134" ht="12.75">
      <c r="D3134" s="30"/>
    </row>
    <row r="3135" ht="12.75">
      <c r="D3135" s="30"/>
    </row>
    <row r="3136" ht="12.75">
      <c r="D3136" s="30"/>
    </row>
    <row r="3137" ht="12.75">
      <c r="D3137" s="30"/>
    </row>
    <row r="3138" ht="12.75">
      <c r="D3138" s="30"/>
    </row>
    <row r="3139" ht="12.75">
      <c r="D3139" s="30"/>
    </row>
    <row r="3140" ht="12.75">
      <c r="D3140" s="30"/>
    </row>
    <row r="3141" ht="12.75">
      <c r="D3141" s="30"/>
    </row>
    <row r="3142" ht="12.75">
      <c r="D3142" s="30"/>
    </row>
    <row r="3143" ht="12.75">
      <c r="D3143" s="30"/>
    </row>
    <row r="3144" ht="12.75">
      <c r="D3144" s="30"/>
    </row>
    <row r="3145" ht="12.75">
      <c r="D3145" s="30"/>
    </row>
    <row r="3146" ht="12.75">
      <c r="D3146" s="30"/>
    </row>
    <row r="3147" ht="12.75">
      <c r="D3147" s="30"/>
    </row>
    <row r="3148" ht="12.75">
      <c r="D3148" s="30"/>
    </row>
    <row r="3149" ht="12.75">
      <c r="D3149" s="30"/>
    </row>
    <row r="3150" ht="12.75">
      <c r="D3150" s="30"/>
    </row>
    <row r="3151" ht="12.75">
      <c r="D3151" s="30"/>
    </row>
    <row r="3152" ht="12.75">
      <c r="D3152" s="30"/>
    </row>
    <row r="3153" ht="12.75">
      <c r="D3153" s="30"/>
    </row>
    <row r="3154" ht="12.75">
      <c r="D3154" s="30"/>
    </row>
    <row r="3155" ht="12.75">
      <c r="D3155" s="30"/>
    </row>
    <row r="3156" ht="12.75">
      <c r="D3156" s="30"/>
    </row>
    <row r="3157" ht="12.75">
      <c r="D3157" s="30"/>
    </row>
    <row r="3158" ht="12.75">
      <c r="D3158" s="30"/>
    </row>
    <row r="3159" ht="12.75">
      <c r="D3159" s="30"/>
    </row>
    <row r="3160" ht="12.75">
      <c r="D3160" s="30"/>
    </row>
    <row r="3161" ht="12.75">
      <c r="D3161" s="30"/>
    </row>
    <row r="3162" ht="12.75">
      <c r="D3162" s="30"/>
    </row>
    <row r="3163" ht="12.75">
      <c r="D3163" s="30"/>
    </row>
    <row r="3164" ht="12.75">
      <c r="D3164" s="30"/>
    </row>
    <row r="3165" ht="12.75">
      <c r="D3165" s="30"/>
    </row>
    <row r="3166" ht="12.75">
      <c r="D3166" s="30"/>
    </row>
    <row r="3167" ht="12.75">
      <c r="D3167" s="30"/>
    </row>
    <row r="3168" ht="12.75">
      <c r="D3168" s="30"/>
    </row>
    <row r="3169" ht="12.75">
      <c r="D3169" s="30"/>
    </row>
    <row r="3170" ht="12.75">
      <c r="D3170" s="30"/>
    </row>
    <row r="3171" ht="12.75">
      <c r="D3171" s="30"/>
    </row>
    <row r="3172" ht="12.75">
      <c r="D3172" s="30"/>
    </row>
    <row r="3173" ht="12.75">
      <c r="D3173" s="30"/>
    </row>
    <row r="3174" ht="12.75">
      <c r="D3174" s="30"/>
    </row>
    <row r="3175" ht="12.75">
      <c r="D3175" s="30"/>
    </row>
    <row r="3176" ht="12.75">
      <c r="D3176" s="30"/>
    </row>
    <row r="3177" ht="12.75">
      <c r="D3177" s="30"/>
    </row>
    <row r="3178" ht="12.75">
      <c r="D3178" s="30"/>
    </row>
    <row r="3179" ht="12.75">
      <c r="D3179" s="30"/>
    </row>
    <row r="3180" ht="12.75">
      <c r="D3180" s="30"/>
    </row>
    <row r="3181" ht="12.75">
      <c r="D3181" s="30"/>
    </row>
    <row r="3182" ht="12.75">
      <c r="D3182" s="30"/>
    </row>
    <row r="3183" ht="12.75">
      <c r="D3183" s="30"/>
    </row>
    <row r="3184" ht="12.75">
      <c r="D3184" s="30"/>
    </row>
    <row r="3185" ht="12.75">
      <c r="D3185" s="30"/>
    </row>
    <row r="3186" ht="12.75">
      <c r="D3186" s="30"/>
    </row>
    <row r="3187" ht="12.75">
      <c r="D3187" s="30"/>
    </row>
    <row r="3188" ht="12.75">
      <c r="D3188" s="30"/>
    </row>
    <row r="3189" ht="12.75">
      <c r="D3189" s="30"/>
    </row>
    <row r="3190" ht="12.75">
      <c r="D3190" s="30"/>
    </row>
    <row r="3191" ht="12.75">
      <c r="D3191" s="30"/>
    </row>
    <row r="3192" ht="12.75">
      <c r="D3192" s="30"/>
    </row>
    <row r="3193" ht="12.75">
      <c r="D3193" s="30"/>
    </row>
    <row r="3194" ht="12.75">
      <c r="D3194" s="30"/>
    </row>
    <row r="3195" ht="12.75">
      <c r="D3195" s="30"/>
    </row>
    <row r="3196" ht="12.75">
      <c r="D3196" s="30"/>
    </row>
    <row r="3197" ht="12.75">
      <c r="D3197" s="30"/>
    </row>
    <row r="3198" ht="12.75">
      <c r="D3198" s="30"/>
    </row>
    <row r="3199" ht="12.75">
      <c r="D3199" s="30"/>
    </row>
    <row r="3200" ht="12.75">
      <c r="D3200" s="30"/>
    </row>
    <row r="3201" ht="12.75">
      <c r="D3201" s="30"/>
    </row>
    <row r="3202" ht="12.75">
      <c r="D3202" s="30"/>
    </row>
    <row r="3203" ht="12.75">
      <c r="D3203" s="30"/>
    </row>
    <row r="3204" ht="12.75">
      <c r="D3204" s="30"/>
    </row>
    <row r="3205" ht="12.75">
      <c r="D3205" s="30"/>
    </row>
    <row r="3206" ht="12.75">
      <c r="D3206" s="30"/>
    </row>
    <row r="3207" ht="12.75">
      <c r="D3207" s="30"/>
    </row>
    <row r="3208" ht="12.75">
      <c r="D3208" s="30"/>
    </row>
    <row r="3209" ht="12.75">
      <c r="D3209" s="30"/>
    </row>
    <row r="3210" ht="12.75">
      <c r="D3210" s="30"/>
    </row>
    <row r="3211" ht="12.75">
      <c r="D3211" s="30"/>
    </row>
    <row r="3212" ht="12.75">
      <c r="D3212" s="30"/>
    </row>
    <row r="3213" ht="12.75">
      <c r="D3213" s="30"/>
    </row>
    <row r="3214" ht="12.75">
      <c r="D3214" s="30"/>
    </row>
    <row r="3215" ht="12.75">
      <c r="D3215" s="30"/>
    </row>
    <row r="3216" ht="12.75">
      <c r="D3216" s="30"/>
    </row>
    <row r="3217" ht="12.75">
      <c r="D3217" s="30"/>
    </row>
    <row r="3218" ht="12.75">
      <c r="D3218" s="30"/>
    </row>
    <row r="3219" ht="12.75">
      <c r="D3219" s="30"/>
    </row>
    <row r="3220" ht="12.75">
      <c r="D3220" s="30"/>
    </row>
    <row r="3221" ht="12.75">
      <c r="D3221" s="30"/>
    </row>
    <row r="3222" ht="12.75">
      <c r="D3222" s="30"/>
    </row>
    <row r="3223" ht="12.75">
      <c r="D3223" s="30"/>
    </row>
    <row r="3224" ht="12.75">
      <c r="D3224" s="30"/>
    </row>
    <row r="3225" ht="12.75">
      <c r="D3225" s="30"/>
    </row>
    <row r="3226" ht="12.75">
      <c r="D3226" s="30"/>
    </row>
    <row r="3227" ht="12.75">
      <c r="D3227" s="30"/>
    </row>
    <row r="3228" ht="12.75">
      <c r="D3228" s="30"/>
    </row>
    <row r="3229" ht="12.75">
      <c r="D3229" s="30"/>
    </row>
    <row r="3230" ht="12.75">
      <c r="D3230" s="30"/>
    </row>
    <row r="3231" ht="12.75">
      <c r="D3231" s="30"/>
    </row>
    <row r="3232" ht="12.75">
      <c r="D3232" s="30"/>
    </row>
    <row r="3233" ht="12.75">
      <c r="D3233" s="30"/>
    </row>
    <row r="3234" ht="12.75">
      <c r="D3234" s="30"/>
    </row>
    <row r="3235" ht="12.75">
      <c r="D3235" s="30"/>
    </row>
    <row r="3236" ht="12.75">
      <c r="D3236" s="30"/>
    </row>
    <row r="3237" ht="12.75">
      <c r="D3237" s="30"/>
    </row>
    <row r="3238" ht="12.75">
      <c r="D3238" s="30"/>
    </row>
    <row r="3239" ht="12.75">
      <c r="D3239" s="30"/>
    </row>
    <row r="3240" ht="12.75">
      <c r="D3240" s="30"/>
    </row>
    <row r="3241" ht="12.75">
      <c r="D3241" s="30"/>
    </row>
    <row r="3242" ht="12.75">
      <c r="D3242" s="30"/>
    </row>
    <row r="3243" ht="12.75">
      <c r="D3243" s="30"/>
    </row>
    <row r="3244" ht="12.75">
      <c r="D3244" s="30"/>
    </row>
    <row r="3245" ht="12.75">
      <c r="D3245" s="30"/>
    </row>
    <row r="3246" ht="12.75">
      <c r="D3246" s="30"/>
    </row>
    <row r="3247" ht="12.75">
      <c r="D3247" s="30"/>
    </row>
    <row r="3248" ht="12.75">
      <c r="D3248" s="30"/>
    </row>
    <row r="3249" ht="12.75">
      <c r="D3249" s="30"/>
    </row>
    <row r="3250" ht="12.75">
      <c r="D3250" s="30"/>
    </row>
    <row r="3251" ht="12.75">
      <c r="D3251" s="30"/>
    </row>
    <row r="3252" ht="12.75">
      <c r="D3252" s="30"/>
    </row>
    <row r="3253" ht="12.75">
      <c r="D3253" s="30"/>
    </row>
    <row r="3254" ht="12.75">
      <c r="D3254" s="30"/>
    </row>
    <row r="3255" ht="12.75">
      <c r="D3255" s="30"/>
    </row>
    <row r="3256" ht="12.75">
      <c r="D3256" s="30"/>
    </row>
    <row r="3257" ht="12.75">
      <c r="D3257" s="30"/>
    </row>
    <row r="3258" ht="12.75">
      <c r="D3258" s="30"/>
    </row>
    <row r="3259" ht="12.75">
      <c r="D3259" s="30"/>
    </row>
    <row r="3260" ht="12.75">
      <c r="D3260" s="30"/>
    </row>
    <row r="3261" ht="12.75">
      <c r="D3261" s="30"/>
    </row>
    <row r="3262" ht="12.75">
      <c r="D3262" s="30"/>
    </row>
    <row r="3263" ht="12.75">
      <c r="D3263" s="30"/>
    </row>
    <row r="3264" ht="12.75">
      <c r="D3264" s="30"/>
    </row>
    <row r="3265" ht="12.75">
      <c r="D3265" s="30"/>
    </row>
    <row r="3266" ht="12.75">
      <c r="D3266" s="30"/>
    </row>
    <row r="3267" ht="12.75">
      <c r="D3267" s="30"/>
    </row>
    <row r="3268" ht="12.75">
      <c r="D3268" s="30"/>
    </row>
    <row r="3269" ht="12.75">
      <c r="D3269" s="30"/>
    </row>
    <row r="3270" ht="12.75">
      <c r="D3270" s="30"/>
    </row>
    <row r="3271" ht="12.75">
      <c r="D3271" s="30"/>
    </row>
    <row r="3272" ht="12.75">
      <c r="D3272" s="30"/>
    </row>
    <row r="3273" ht="12.75">
      <c r="D3273" s="30"/>
    </row>
    <row r="3274" ht="12.75">
      <c r="D3274" s="30"/>
    </row>
    <row r="3275" ht="12.75">
      <c r="D3275" s="30"/>
    </row>
    <row r="3276" ht="12.75">
      <c r="D3276" s="30"/>
    </row>
    <row r="3277" ht="12.75">
      <c r="D3277" s="30"/>
    </row>
    <row r="3278" ht="12.75">
      <c r="D3278" s="30"/>
    </row>
    <row r="3279" ht="12.75">
      <c r="D3279" s="30"/>
    </row>
    <row r="3280" ht="12.75">
      <c r="D3280" s="30"/>
    </row>
    <row r="3281" ht="12.75">
      <c r="D3281" s="30"/>
    </row>
    <row r="3282" ht="12.75">
      <c r="D3282" s="30"/>
    </row>
    <row r="3283" ht="12.75">
      <c r="D3283" s="30"/>
    </row>
    <row r="3284" ht="12.75">
      <c r="D3284" s="30"/>
    </row>
    <row r="3285" ht="12.75">
      <c r="D3285" s="30"/>
    </row>
    <row r="3286" ht="12.75">
      <c r="D3286" s="30"/>
    </row>
    <row r="3287" ht="12.75">
      <c r="D3287" s="30"/>
    </row>
    <row r="3288" ht="12.75">
      <c r="D3288" s="30"/>
    </row>
    <row r="3289" ht="12.75">
      <c r="D3289" s="30"/>
    </row>
    <row r="3290" ht="12.75">
      <c r="D3290" s="30"/>
    </row>
    <row r="3291" ht="12.75">
      <c r="D3291" s="30"/>
    </row>
    <row r="3292" ht="12.75">
      <c r="D3292" s="30"/>
    </row>
    <row r="3293" ht="12.75">
      <c r="D3293" s="30"/>
    </row>
    <row r="3294" ht="12.75">
      <c r="D3294" s="30"/>
    </row>
    <row r="3295" ht="12.75">
      <c r="D3295" s="30"/>
    </row>
    <row r="3296" ht="12.75">
      <c r="D3296" s="30"/>
    </row>
    <row r="3297" ht="12.75">
      <c r="D3297" s="30"/>
    </row>
    <row r="3298" ht="12.75">
      <c r="D3298" s="30"/>
    </row>
    <row r="3299" ht="12.75">
      <c r="D3299" s="30"/>
    </row>
    <row r="3300" ht="12.75">
      <c r="D3300" s="30"/>
    </row>
    <row r="3301" ht="12.75">
      <c r="D3301" s="30"/>
    </row>
    <row r="3302" ht="12.75">
      <c r="D3302" s="30"/>
    </row>
    <row r="3303" ht="12.75">
      <c r="D3303" s="30"/>
    </row>
    <row r="3304" ht="12.75">
      <c r="D3304" s="30"/>
    </row>
    <row r="3305" ht="12.75">
      <c r="D3305" s="30"/>
    </row>
    <row r="3306" ht="12.75">
      <c r="D3306" s="30"/>
    </row>
    <row r="3307" ht="12.75">
      <c r="D3307" s="30"/>
    </row>
    <row r="3308" ht="12.75">
      <c r="D3308" s="30"/>
    </row>
    <row r="3309" ht="12.75">
      <c r="D3309" s="30"/>
    </row>
    <row r="3310" ht="12.75">
      <c r="D3310" s="30"/>
    </row>
    <row r="3311" ht="12.75">
      <c r="D3311" s="30"/>
    </row>
    <row r="3312" ht="12.75">
      <c r="D3312" s="30"/>
    </row>
    <row r="3313" ht="12.75">
      <c r="D3313" s="30"/>
    </row>
    <row r="3314" ht="12.75">
      <c r="D3314" s="30"/>
    </row>
    <row r="3315" ht="12.75">
      <c r="D3315" s="30"/>
    </row>
    <row r="3316" ht="12.75">
      <c r="D3316" s="30"/>
    </row>
    <row r="3317" ht="12.75">
      <c r="D3317" s="30"/>
    </row>
    <row r="3318" ht="12.75">
      <c r="D3318" s="30"/>
    </row>
    <row r="3319" ht="12.75">
      <c r="D3319" s="30"/>
    </row>
    <row r="3320" ht="12.75">
      <c r="D3320" s="30"/>
    </row>
    <row r="3321" ht="12.75">
      <c r="D3321" s="30"/>
    </row>
    <row r="3322" ht="12.75">
      <c r="D3322" s="30"/>
    </row>
    <row r="3323" ht="12.75">
      <c r="D3323" s="30"/>
    </row>
    <row r="3324" ht="12.75">
      <c r="D3324" s="30"/>
    </row>
    <row r="3325" ht="12.75">
      <c r="D3325" s="30"/>
    </row>
    <row r="3326" ht="12.75">
      <c r="D3326" s="30"/>
    </row>
    <row r="3327" ht="12.75">
      <c r="D3327" s="30"/>
    </row>
    <row r="3328" ht="12.75">
      <c r="D3328" s="30"/>
    </row>
    <row r="3329" ht="12.75">
      <c r="D3329" s="30"/>
    </row>
    <row r="3330" ht="12.75">
      <c r="D3330" s="30"/>
    </row>
    <row r="3331" ht="12.75">
      <c r="D3331" s="30"/>
    </row>
    <row r="3332" ht="12.75">
      <c r="D3332" s="30"/>
    </row>
    <row r="3333" ht="12.75">
      <c r="D3333" s="30"/>
    </row>
    <row r="3334" ht="12.75">
      <c r="D3334" s="30"/>
    </row>
    <row r="3335" ht="12.75">
      <c r="D3335" s="30"/>
    </row>
    <row r="3336" ht="12.75">
      <c r="D3336" s="30"/>
    </row>
    <row r="3337" ht="12.75">
      <c r="D3337" s="30"/>
    </row>
    <row r="3338" ht="12.75">
      <c r="D3338" s="30"/>
    </row>
    <row r="3339" ht="12.75">
      <c r="D3339" s="30"/>
    </row>
    <row r="3340" ht="12.75">
      <c r="D3340" s="30"/>
    </row>
    <row r="3341" ht="12.75">
      <c r="D3341" s="30"/>
    </row>
    <row r="3342" ht="12.75">
      <c r="D3342" s="30"/>
    </row>
    <row r="3343" ht="12.75">
      <c r="D3343" s="30"/>
    </row>
    <row r="3344" ht="12.75">
      <c r="D3344" s="30"/>
    </row>
    <row r="3345" ht="12.75">
      <c r="D3345" s="30"/>
    </row>
    <row r="3346" ht="12.75">
      <c r="D3346" s="30"/>
    </row>
    <row r="3347" ht="12.75">
      <c r="D3347" s="30"/>
    </row>
    <row r="3348" ht="12.75">
      <c r="D3348" s="30"/>
    </row>
    <row r="3349" ht="12.75">
      <c r="D3349" s="30"/>
    </row>
    <row r="3350" ht="12.75">
      <c r="D3350" s="30"/>
    </row>
    <row r="3351" ht="12.75">
      <c r="D3351" s="30"/>
    </row>
    <row r="3352" ht="12.75">
      <c r="D3352" s="30"/>
    </row>
    <row r="3353" ht="12.75">
      <c r="D3353" s="30"/>
    </row>
    <row r="3354" ht="12.75">
      <c r="D3354" s="30"/>
    </row>
    <row r="3355" ht="12.75">
      <c r="D3355" s="30"/>
    </row>
    <row r="3356" ht="12.75">
      <c r="D3356" s="30"/>
    </row>
    <row r="3357" ht="12.75">
      <c r="D3357" s="30"/>
    </row>
    <row r="3358" ht="12.75">
      <c r="D3358" s="30"/>
    </row>
    <row r="3359" ht="12.75">
      <c r="D3359" s="30"/>
    </row>
    <row r="3360" ht="12.75">
      <c r="D3360" s="30"/>
    </row>
    <row r="3361" ht="12.75">
      <c r="D3361" s="30"/>
    </row>
    <row r="3362" ht="12.75">
      <c r="D3362" s="30"/>
    </row>
    <row r="3363" ht="12.75">
      <c r="D3363" s="30"/>
    </row>
    <row r="3364" ht="12.75">
      <c r="D3364" s="30"/>
    </row>
    <row r="3365" ht="12.75">
      <c r="D3365" s="30"/>
    </row>
    <row r="3366" ht="12.75">
      <c r="D3366" s="30"/>
    </row>
    <row r="3367" ht="12.75">
      <c r="D3367" s="30"/>
    </row>
    <row r="3368" ht="12.75">
      <c r="D3368" s="30"/>
    </row>
    <row r="3369" ht="12.75">
      <c r="D3369" s="30"/>
    </row>
    <row r="3370" ht="12.75">
      <c r="D3370" s="30"/>
    </row>
    <row r="3371" ht="12.75">
      <c r="D3371" s="30"/>
    </row>
    <row r="3372" ht="12.75">
      <c r="D3372" s="30"/>
    </row>
    <row r="3373" ht="12.75">
      <c r="D3373" s="30"/>
    </row>
    <row r="3374" ht="12.75">
      <c r="D3374" s="30"/>
    </row>
    <row r="3375" ht="12.75">
      <c r="D3375" s="30"/>
    </row>
    <row r="3376" ht="12.75">
      <c r="D3376" s="30"/>
    </row>
    <row r="3377" ht="12.75">
      <c r="D3377" s="30"/>
    </row>
    <row r="3378" ht="12.75">
      <c r="D3378" s="30"/>
    </row>
    <row r="3379" ht="12.75">
      <c r="D3379" s="30"/>
    </row>
    <row r="3380" ht="12.75">
      <c r="D3380" s="30"/>
    </row>
    <row r="3381" ht="12.75">
      <c r="D3381" s="30"/>
    </row>
    <row r="3382" ht="12.75">
      <c r="D3382" s="30"/>
    </row>
    <row r="3383" ht="12.75">
      <c r="D3383" s="30"/>
    </row>
    <row r="3384" ht="12.75">
      <c r="D3384" s="30"/>
    </row>
    <row r="3385" ht="12.75">
      <c r="D3385" s="30"/>
    </row>
    <row r="3386" ht="12.75">
      <c r="D3386" s="30"/>
    </row>
    <row r="3387" ht="12.75">
      <c r="D3387" s="30"/>
    </row>
    <row r="3388" ht="12.75">
      <c r="D3388" s="30"/>
    </row>
    <row r="3389" ht="12.75">
      <c r="D3389" s="30"/>
    </row>
    <row r="3390" ht="12.75">
      <c r="D3390" s="30"/>
    </row>
    <row r="3391" ht="12.75">
      <c r="D3391" s="30"/>
    </row>
    <row r="3392" ht="12.75">
      <c r="D3392" s="30"/>
    </row>
    <row r="3393" ht="12.75">
      <c r="D3393" s="30"/>
    </row>
    <row r="3394" ht="12.75">
      <c r="D3394" s="30"/>
    </row>
    <row r="3395" ht="12.75">
      <c r="D3395" s="30"/>
    </row>
    <row r="3396" ht="12.75">
      <c r="D3396" s="30"/>
    </row>
    <row r="3397" ht="12.75">
      <c r="D3397" s="30"/>
    </row>
    <row r="3398" ht="12.75">
      <c r="D3398" s="30"/>
    </row>
    <row r="3399" ht="12.75">
      <c r="D3399" s="30"/>
    </row>
    <row r="3400" ht="12.75">
      <c r="D3400" s="30"/>
    </row>
    <row r="3401" ht="12.75">
      <c r="D3401" s="30"/>
    </row>
    <row r="3402" ht="12.75">
      <c r="D3402" s="30"/>
    </row>
    <row r="3403" ht="12.75">
      <c r="D3403" s="30"/>
    </row>
    <row r="3404" ht="12.75">
      <c r="D3404" s="30"/>
    </row>
    <row r="3405" ht="12.75">
      <c r="D3405" s="30"/>
    </row>
    <row r="3406" ht="12.75">
      <c r="D3406" s="30"/>
    </row>
    <row r="3407" ht="12.75">
      <c r="D3407" s="30"/>
    </row>
    <row r="3408" ht="12.75">
      <c r="D3408" s="30"/>
    </row>
    <row r="3409" ht="12.75">
      <c r="D3409" s="30"/>
    </row>
    <row r="3410" ht="12.75">
      <c r="D3410" s="30"/>
    </row>
    <row r="3411" ht="12.75">
      <c r="D3411" s="30"/>
    </row>
    <row r="3412" ht="12.75">
      <c r="D3412" s="30"/>
    </row>
    <row r="3413" ht="12.75">
      <c r="D3413" s="30"/>
    </row>
    <row r="3414" ht="12.75">
      <c r="D3414" s="30"/>
    </row>
    <row r="3415" ht="12.75">
      <c r="D3415" s="30"/>
    </row>
    <row r="3416" ht="12.75">
      <c r="D3416" s="30"/>
    </row>
    <row r="3417" ht="12.75">
      <c r="D3417" s="30"/>
    </row>
    <row r="3418" ht="12.75">
      <c r="D3418" s="30"/>
    </row>
    <row r="3419" ht="12.75">
      <c r="D3419" s="30"/>
    </row>
    <row r="3420" ht="12.75">
      <c r="D3420" s="30"/>
    </row>
    <row r="3421" ht="12.75">
      <c r="D3421" s="30"/>
    </row>
    <row r="3422" ht="12.75">
      <c r="D3422" s="30"/>
    </row>
    <row r="3423" ht="12.75">
      <c r="D3423" s="30"/>
    </row>
    <row r="3424" ht="12.75">
      <c r="D3424" s="30"/>
    </row>
    <row r="3425" ht="12.75">
      <c r="D3425" s="30"/>
    </row>
    <row r="3426" ht="12.75">
      <c r="D3426" s="30"/>
    </row>
    <row r="3427" ht="12.75">
      <c r="D3427" s="30"/>
    </row>
    <row r="3428" ht="12.75">
      <c r="D3428" s="30"/>
    </row>
    <row r="3429" ht="12.75">
      <c r="D3429" s="30"/>
    </row>
    <row r="3430" ht="12.75">
      <c r="D3430" s="30"/>
    </row>
    <row r="3431" ht="12.75">
      <c r="D3431" s="30"/>
    </row>
    <row r="3432" ht="12.75">
      <c r="D3432" s="30"/>
    </row>
    <row r="3433" ht="12.75">
      <c r="D3433" s="30"/>
    </row>
    <row r="3434" ht="12.75">
      <c r="D3434" s="30"/>
    </row>
    <row r="3435" ht="12.75">
      <c r="D3435" s="30"/>
    </row>
    <row r="3436" ht="12.75">
      <c r="D3436" s="30"/>
    </row>
    <row r="3437" ht="12.75">
      <c r="D3437" s="30"/>
    </row>
    <row r="3438" ht="12.75">
      <c r="D3438" s="30"/>
    </row>
    <row r="3439" ht="12.75">
      <c r="D3439" s="30"/>
    </row>
    <row r="3440" ht="12.75">
      <c r="D3440" s="30"/>
    </row>
    <row r="3441" ht="12.75">
      <c r="D3441" s="30"/>
    </row>
    <row r="3442" ht="12.75">
      <c r="D3442" s="30"/>
    </row>
    <row r="3443" ht="12.75">
      <c r="D3443" s="30"/>
    </row>
    <row r="3444" ht="12.75">
      <c r="D3444" s="30"/>
    </row>
    <row r="3445" ht="12.75">
      <c r="D3445" s="30"/>
    </row>
    <row r="3446" ht="12.75">
      <c r="D3446" s="30"/>
    </row>
    <row r="3447" ht="12.75">
      <c r="D3447" s="30"/>
    </row>
    <row r="3448" ht="12.75">
      <c r="D3448" s="30"/>
    </row>
    <row r="3449" ht="12.75">
      <c r="D3449" s="30"/>
    </row>
    <row r="3450" ht="12.75">
      <c r="D3450" s="30"/>
    </row>
    <row r="3451" ht="12.75">
      <c r="D3451" s="30"/>
    </row>
    <row r="3452" ht="12.75">
      <c r="D3452" s="30"/>
    </row>
    <row r="3453" ht="12.75">
      <c r="D3453" s="30"/>
    </row>
    <row r="3454" ht="12.75">
      <c r="D3454" s="30"/>
    </row>
    <row r="3455" ht="12.75">
      <c r="D3455" s="30"/>
    </row>
    <row r="3456" ht="12.75">
      <c r="D3456" s="30"/>
    </row>
    <row r="3457" ht="12.75">
      <c r="D3457" s="30"/>
    </row>
    <row r="3458" ht="12.75">
      <c r="D3458" s="30"/>
    </row>
    <row r="3459" ht="12.75">
      <c r="D3459" s="30"/>
    </row>
    <row r="3460" ht="12.75">
      <c r="D3460" s="30"/>
    </row>
    <row r="3461" ht="12.75">
      <c r="D3461" s="30"/>
    </row>
    <row r="3462" ht="12.75">
      <c r="D3462" s="30"/>
    </row>
    <row r="3463" ht="12.75">
      <c r="D3463" s="30"/>
    </row>
    <row r="3464" ht="12.75">
      <c r="D3464" s="30"/>
    </row>
    <row r="3465" ht="12.75">
      <c r="D3465" s="30"/>
    </row>
    <row r="3466" ht="12.75">
      <c r="D3466" s="30"/>
    </row>
    <row r="3467" ht="12.75">
      <c r="D3467" s="30"/>
    </row>
    <row r="3468" ht="12.75">
      <c r="D3468" s="30"/>
    </row>
    <row r="3469" ht="12.75">
      <c r="D3469" s="30"/>
    </row>
    <row r="3470" ht="12.75">
      <c r="D3470" s="30"/>
    </row>
    <row r="3471" ht="12.75">
      <c r="D3471" s="30"/>
    </row>
    <row r="3472" ht="12.75">
      <c r="D3472" s="30"/>
    </row>
    <row r="3473" ht="12.75">
      <c r="D3473" s="30"/>
    </row>
    <row r="3474" ht="12.75">
      <c r="D3474" s="30"/>
    </row>
    <row r="3475" ht="12.75">
      <c r="D3475" s="30"/>
    </row>
    <row r="3476" ht="12.75">
      <c r="D3476" s="30"/>
    </row>
    <row r="3477" ht="12.75">
      <c r="D3477" s="30"/>
    </row>
    <row r="3478" ht="12.75">
      <c r="D3478" s="30"/>
    </row>
    <row r="3479" ht="12.75">
      <c r="D3479" s="30"/>
    </row>
    <row r="3480" ht="12.75">
      <c r="D3480" s="30"/>
    </row>
    <row r="3481" ht="12.75">
      <c r="D3481" s="30"/>
    </row>
    <row r="3482" ht="12.75">
      <c r="D3482" s="30"/>
    </row>
    <row r="3483" ht="12.75">
      <c r="D3483" s="30"/>
    </row>
    <row r="3484" ht="12.75">
      <c r="D3484" s="30"/>
    </row>
    <row r="3485" ht="12.75">
      <c r="D3485" s="30"/>
    </row>
    <row r="3486" ht="12.75">
      <c r="D3486" s="30"/>
    </row>
    <row r="3487" ht="12.75">
      <c r="D3487" s="30"/>
    </row>
    <row r="3488" ht="12.75">
      <c r="D3488" s="30"/>
    </row>
    <row r="3489" ht="12.75">
      <c r="D3489" s="30"/>
    </row>
    <row r="3490" ht="12.75">
      <c r="D3490" s="30"/>
    </row>
    <row r="3491" ht="12.75">
      <c r="D3491" s="30"/>
    </row>
    <row r="3492" ht="12.75">
      <c r="D3492" s="30"/>
    </row>
    <row r="3493" ht="12.75">
      <c r="D3493" s="30"/>
    </row>
    <row r="3494" ht="12.75">
      <c r="D3494" s="30"/>
    </row>
    <row r="3495" ht="12.75">
      <c r="D3495" s="30"/>
    </row>
    <row r="3496" ht="12.75">
      <c r="D3496" s="30"/>
    </row>
    <row r="3497" ht="12.75">
      <c r="D3497" s="30"/>
    </row>
    <row r="3498" ht="12.75">
      <c r="D3498" s="30"/>
    </row>
    <row r="3499" ht="12.75">
      <c r="D3499" s="30"/>
    </row>
    <row r="3500" ht="12.75">
      <c r="D3500" s="30"/>
    </row>
    <row r="3501" ht="12.75">
      <c r="D3501" s="30"/>
    </row>
    <row r="3502" ht="12.75">
      <c r="D3502" s="30"/>
    </row>
    <row r="3503" ht="12.75">
      <c r="D3503" s="30"/>
    </row>
    <row r="3504" ht="12.75">
      <c r="D3504" s="30"/>
    </row>
    <row r="3505" ht="12.75">
      <c r="D3505" s="30"/>
    </row>
    <row r="3506" ht="12.75">
      <c r="D3506" s="30"/>
    </row>
    <row r="3507" ht="12.75">
      <c r="D3507" s="30"/>
    </row>
    <row r="3508" ht="12.75">
      <c r="D3508" s="30"/>
    </row>
    <row r="3509" ht="12.75">
      <c r="D3509" s="30"/>
    </row>
    <row r="3510" ht="12.75">
      <c r="D3510" s="30"/>
    </row>
    <row r="3511" ht="12.75">
      <c r="D3511" s="30"/>
    </row>
    <row r="3512" ht="12.75">
      <c r="D3512" s="30"/>
    </row>
    <row r="3513" ht="12.75">
      <c r="D3513" s="30"/>
    </row>
    <row r="3514" ht="12.75">
      <c r="D3514" s="30"/>
    </row>
    <row r="3515" ht="12.75">
      <c r="D3515" s="30"/>
    </row>
    <row r="3516" ht="12.75">
      <c r="D3516" s="30"/>
    </row>
    <row r="3517" ht="12.75">
      <c r="D3517" s="30"/>
    </row>
    <row r="3518" ht="12.75">
      <c r="D3518" s="30"/>
    </row>
    <row r="3519" ht="12.75">
      <c r="D3519" s="30"/>
    </row>
    <row r="3520" ht="12.75">
      <c r="D3520" s="30"/>
    </row>
    <row r="3521" ht="12.75">
      <c r="D3521" s="30"/>
    </row>
    <row r="3522" ht="12.75">
      <c r="D3522" s="30"/>
    </row>
    <row r="3523" ht="12.75">
      <c r="D3523" s="30"/>
    </row>
    <row r="3524" ht="12.75">
      <c r="D3524" s="30"/>
    </row>
    <row r="3525" ht="12.75">
      <c r="D3525" s="30"/>
    </row>
    <row r="3526" ht="12.75">
      <c r="D3526" s="30"/>
    </row>
    <row r="3527" ht="12.75">
      <c r="D3527" s="30"/>
    </row>
    <row r="3528" ht="12.75">
      <c r="D3528" s="30"/>
    </row>
    <row r="3529" ht="12.75">
      <c r="D3529" s="30"/>
    </row>
    <row r="3530" ht="12.75">
      <c r="D3530" s="30"/>
    </row>
    <row r="3531" ht="12.75">
      <c r="D3531" s="30"/>
    </row>
    <row r="3532" ht="12.75">
      <c r="D3532" s="30"/>
    </row>
    <row r="3533" ht="12.75">
      <c r="D3533" s="30"/>
    </row>
    <row r="3534" ht="12.75">
      <c r="D3534" s="30"/>
    </row>
    <row r="3535" ht="12.75">
      <c r="D3535" s="30"/>
    </row>
    <row r="3536" ht="12.75">
      <c r="D3536" s="30"/>
    </row>
    <row r="3537" ht="12.75">
      <c r="D3537" s="30"/>
    </row>
    <row r="3538" ht="12.75">
      <c r="D3538" s="30"/>
    </row>
    <row r="3539" ht="12.75">
      <c r="D3539" s="30"/>
    </row>
    <row r="3540" ht="12.75">
      <c r="D3540" s="30"/>
    </row>
    <row r="3541" ht="12.75">
      <c r="D3541" s="30"/>
    </row>
    <row r="3542" ht="12.75">
      <c r="D3542" s="30"/>
    </row>
    <row r="3543" ht="12.75">
      <c r="D3543" s="30"/>
    </row>
    <row r="3544" ht="12.75">
      <c r="D3544" s="30"/>
    </row>
    <row r="3545" ht="12.75">
      <c r="D3545" s="30"/>
    </row>
    <row r="3546" ht="12.75">
      <c r="D3546" s="30"/>
    </row>
    <row r="3547" ht="12.75">
      <c r="D3547" s="30"/>
    </row>
    <row r="3548" ht="12.75">
      <c r="D3548" s="30"/>
    </row>
    <row r="3549" ht="12.75">
      <c r="D3549" s="30"/>
    </row>
    <row r="3550" ht="12.75">
      <c r="D3550" s="30"/>
    </row>
    <row r="3551" ht="12.75">
      <c r="D3551" s="30"/>
    </row>
    <row r="3552" ht="12.75">
      <c r="D3552" s="30"/>
    </row>
    <row r="3553" ht="12.75">
      <c r="D3553" s="30"/>
    </row>
    <row r="3554" ht="12.75">
      <c r="D3554" s="30"/>
    </row>
    <row r="3555" ht="12.75">
      <c r="D3555" s="30"/>
    </row>
    <row r="3556" ht="12.75">
      <c r="D3556" s="30"/>
    </row>
    <row r="3557" ht="12.75">
      <c r="D3557" s="30"/>
    </row>
    <row r="3558" ht="12.75">
      <c r="D3558" s="30"/>
    </row>
    <row r="3559" ht="12.75">
      <c r="D3559" s="30"/>
    </row>
    <row r="3560" ht="12.75">
      <c r="D3560" s="30"/>
    </row>
    <row r="3561" ht="12.75">
      <c r="D3561" s="30"/>
    </row>
    <row r="3562" ht="12.75">
      <c r="D3562" s="30"/>
    </row>
    <row r="3563" ht="12.75">
      <c r="D3563" s="30"/>
    </row>
    <row r="3564" ht="12.75">
      <c r="D3564" s="30"/>
    </row>
    <row r="3565" ht="12.75">
      <c r="D3565" s="30"/>
    </row>
    <row r="3566" ht="12.75">
      <c r="D3566" s="30"/>
    </row>
    <row r="3567" ht="12.75">
      <c r="D3567" s="30"/>
    </row>
    <row r="3568" ht="12.75">
      <c r="D3568" s="30"/>
    </row>
    <row r="3569" ht="12.75">
      <c r="D3569" s="30"/>
    </row>
    <row r="3570" ht="12.75">
      <c r="D3570" s="30"/>
    </row>
    <row r="3571" ht="12.75">
      <c r="D3571" s="30"/>
    </row>
    <row r="3572" ht="12.75">
      <c r="D3572" s="30"/>
    </row>
    <row r="3573" ht="12.75">
      <c r="D3573" s="30"/>
    </row>
    <row r="3574" ht="12.75">
      <c r="D3574" s="30"/>
    </row>
    <row r="3575" ht="12.75">
      <c r="D3575" s="30"/>
    </row>
    <row r="3576" ht="12.75">
      <c r="D3576" s="30"/>
    </row>
    <row r="3577" ht="12.75">
      <c r="D3577" s="30"/>
    </row>
    <row r="3578" ht="12.75">
      <c r="D3578" s="30"/>
    </row>
    <row r="3579" ht="12.75">
      <c r="D3579" s="30"/>
    </row>
    <row r="3580" ht="12.75">
      <c r="D3580" s="30"/>
    </row>
    <row r="3581" ht="12.75">
      <c r="D3581" s="30"/>
    </row>
    <row r="3582" ht="12.75">
      <c r="D3582" s="30"/>
    </row>
    <row r="3583" ht="12.75">
      <c r="D3583" s="30"/>
    </row>
    <row r="3584" ht="12.75">
      <c r="D3584" s="30"/>
    </row>
    <row r="3585" ht="12.75">
      <c r="D3585" s="30"/>
    </row>
    <row r="3586" ht="12.75">
      <c r="D3586" s="30"/>
    </row>
    <row r="3587" ht="12.75">
      <c r="D3587" s="30"/>
    </row>
    <row r="3588" ht="12.75">
      <c r="D3588" s="30"/>
    </row>
    <row r="3589" ht="12.75">
      <c r="D3589" s="30"/>
    </row>
    <row r="3590" ht="12.75">
      <c r="D3590" s="30"/>
    </row>
    <row r="3591" ht="12.75">
      <c r="D3591" s="30"/>
    </row>
    <row r="3592" ht="12.75">
      <c r="D3592" s="30"/>
    </row>
    <row r="3593" ht="12.75">
      <c r="D3593" s="30"/>
    </row>
    <row r="3594" ht="12.75">
      <c r="D3594" s="30"/>
    </row>
    <row r="3595" ht="12.75">
      <c r="D3595" s="30"/>
    </row>
    <row r="3596" ht="12.75">
      <c r="D3596" s="30"/>
    </row>
    <row r="3597" ht="12.75">
      <c r="D3597" s="30"/>
    </row>
    <row r="3598" ht="12.75">
      <c r="D3598" s="30"/>
    </row>
    <row r="3599" ht="12.75">
      <c r="D3599" s="30"/>
    </row>
    <row r="3600" ht="12.75">
      <c r="D3600" s="30"/>
    </row>
    <row r="3601" ht="12.75">
      <c r="D3601" s="30"/>
    </row>
    <row r="3602" ht="12.75">
      <c r="D3602" s="30"/>
    </row>
    <row r="3603" ht="12.75">
      <c r="D3603" s="30"/>
    </row>
    <row r="3604" ht="12.75">
      <c r="D3604" s="30"/>
    </row>
    <row r="3605" ht="12.75">
      <c r="D3605" s="30"/>
    </row>
    <row r="3606" ht="12.75">
      <c r="D3606" s="30"/>
    </row>
    <row r="3607" ht="12.75">
      <c r="D3607" s="30"/>
    </row>
    <row r="3608" ht="12.75">
      <c r="D3608" s="30"/>
    </row>
    <row r="3609" ht="12.75">
      <c r="D3609" s="30"/>
    </row>
    <row r="3610" ht="12.75">
      <c r="D3610" s="30"/>
    </row>
    <row r="3611" ht="12.75">
      <c r="D3611" s="30"/>
    </row>
    <row r="3612" ht="12.75">
      <c r="D3612" s="30"/>
    </row>
    <row r="3613" ht="12.75">
      <c r="D3613" s="30"/>
    </row>
    <row r="3614" ht="12.75">
      <c r="D3614" s="30"/>
    </row>
    <row r="3615" ht="12.75">
      <c r="D3615" s="30"/>
    </row>
    <row r="3616" ht="12.75">
      <c r="D3616" s="30"/>
    </row>
    <row r="3617" ht="12.75">
      <c r="D3617" s="30"/>
    </row>
    <row r="3618" ht="12.75">
      <c r="D3618" s="30"/>
    </row>
    <row r="3619" ht="12.75">
      <c r="D3619" s="30"/>
    </row>
    <row r="3620" ht="12.75">
      <c r="D3620" s="30"/>
    </row>
    <row r="3621" ht="12.75">
      <c r="D3621" s="30"/>
    </row>
    <row r="3622" ht="12.75">
      <c r="D3622" s="30"/>
    </row>
    <row r="3623" ht="12.75">
      <c r="D3623" s="30"/>
    </row>
    <row r="3624" ht="12.75">
      <c r="D3624" s="30"/>
    </row>
    <row r="3625" ht="12.75">
      <c r="D3625" s="30"/>
    </row>
    <row r="3626" ht="12.75">
      <c r="D3626" s="30"/>
    </row>
    <row r="3627" ht="12.75">
      <c r="D3627" s="30"/>
    </row>
    <row r="3628" ht="12.75">
      <c r="D3628" s="30"/>
    </row>
    <row r="3629" ht="12.75">
      <c r="D3629" s="30"/>
    </row>
    <row r="3630" ht="12.75">
      <c r="D3630" s="30"/>
    </row>
    <row r="3631" ht="12.75">
      <c r="D3631" s="30"/>
    </row>
    <row r="3632" ht="12.75">
      <c r="D3632" s="30"/>
    </row>
    <row r="3633" ht="12.75">
      <c r="D3633" s="30"/>
    </row>
    <row r="3634" ht="12.75">
      <c r="D3634" s="30"/>
    </row>
    <row r="3635" ht="12.75">
      <c r="D3635" s="30"/>
    </row>
    <row r="3636" ht="12.75">
      <c r="D3636" s="30"/>
    </row>
    <row r="3637" ht="12.75">
      <c r="D3637" s="30"/>
    </row>
    <row r="3638" ht="12.75">
      <c r="D3638" s="30"/>
    </row>
    <row r="3639" ht="12.75">
      <c r="D3639" s="30"/>
    </row>
    <row r="3640" ht="12.75">
      <c r="D3640" s="30"/>
    </row>
    <row r="3641" ht="12.75">
      <c r="D3641" s="30"/>
    </row>
    <row r="3642" ht="12.75">
      <c r="D3642" s="30"/>
    </row>
    <row r="3643" ht="12.75">
      <c r="D3643" s="30"/>
    </row>
    <row r="3644" ht="12.75">
      <c r="D3644" s="30"/>
    </row>
    <row r="3645" ht="12.75">
      <c r="D3645" s="30"/>
    </row>
    <row r="3646" ht="12.75">
      <c r="D3646" s="30"/>
    </row>
    <row r="3647" ht="12.75">
      <c r="D3647" s="30"/>
    </row>
    <row r="3648" ht="12.75">
      <c r="D3648" s="30"/>
    </row>
    <row r="3649" ht="12.75">
      <c r="D3649" s="30"/>
    </row>
    <row r="3650" ht="12.75">
      <c r="D3650" s="30"/>
    </row>
    <row r="3651" ht="12.75">
      <c r="D3651" s="30"/>
    </row>
    <row r="3652" ht="12.75">
      <c r="D3652" s="30"/>
    </row>
    <row r="3653" ht="12.75">
      <c r="D3653" s="30"/>
    </row>
    <row r="3654" ht="12.75">
      <c r="D3654" s="30"/>
    </row>
    <row r="3655" ht="12.75">
      <c r="D3655" s="30"/>
    </row>
    <row r="3656" ht="12.75">
      <c r="D3656" s="30"/>
    </row>
    <row r="3657" ht="12.75">
      <c r="D3657" s="30"/>
    </row>
    <row r="3658" ht="12.75">
      <c r="D3658" s="30"/>
    </row>
    <row r="3659" ht="12.75">
      <c r="D3659" s="30"/>
    </row>
    <row r="3660" ht="12.75">
      <c r="D3660" s="30"/>
    </row>
    <row r="3661" ht="12.75">
      <c r="D3661" s="30"/>
    </row>
    <row r="3662" ht="12.75">
      <c r="D3662" s="30"/>
    </row>
    <row r="3663" ht="12.75">
      <c r="D3663" s="30"/>
    </row>
    <row r="3664" ht="12.75">
      <c r="D3664" s="30"/>
    </row>
    <row r="3665" ht="12.75">
      <c r="D3665" s="30"/>
    </row>
    <row r="3666" ht="12.75">
      <c r="D3666" s="30"/>
    </row>
    <row r="3667" ht="12.75">
      <c r="D3667" s="30"/>
    </row>
    <row r="3668" ht="12.75">
      <c r="D3668" s="30"/>
    </row>
    <row r="3669" ht="12.75">
      <c r="D3669" s="30"/>
    </row>
    <row r="3670" ht="12.75">
      <c r="D3670" s="30"/>
    </row>
    <row r="3671" ht="12.75">
      <c r="D3671" s="30"/>
    </row>
    <row r="3672" ht="12.75">
      <c r="D3672" s="30"/>
    </row>
    <row r="3673" ht="12.75">
      <c r="D3673" s="30"/>
    </row>
    <row r="3674" ht="12.75">
      <c r="D3674" s="30"/>
    </row>
    <row r="3675" ht="12.75">
      <c r="D3675" s="30"/>
    </row>
    <row r="3676" ht="12.75">
      <c r="D3676" s="30"/>
    </row>
    <row r="3677" ht="12.75">
      <c r="D3677" s="30"/>
    </row>
    <row r="3678" ht="12.75">
      <c r="D3678" s="30"/>
    </row>
    <row r="3679" ht="12.75">
      <c r="D3679" s="30"/>
    </row>
    <row r="3680" ht="12.75">
      <c r="D3680" s="30"/>
    </row>
    <row r="3681" ht="12.75">
      <c r="D3681" s="30"/>
    </row>
    <row r="3682" ht="12.75">
      <c r="D3682" s="30"/>
    </row>
    <row r="3683" ht="12.75">
      <c r="D3683" s="30"/>
    </row>
    <row r="3684" ht="12.75">
      <c r="D3684" s="30"/>
    </row>
    <row r="3685" ht="12.75">
      <c r="D3685" s="30"/>
    </row>
    <row r="3686" ht="12.75">
      <c r="D3686" s="30"/>
    </row>
    <row r="3687" ht="12.75">
      <c r="D3687" s="30"/>
    </row>
    <row r="3688" ht="12.75">
      <c r="D3688" s="30"/>
    </row>
    <row r="3689" ht="12.75">
      <c r="D3689" s="30"/>
    </row>
    <row r="3690" ht="12.75">
      <c r="D3690" s="30"/>
    </row>
    <row r="3691" ht="12.75">
      <c r="D3691" s="30"/>
    </row>
    <row r="3692" ht="12.75">
      <c r="D3692" s="30"/>
    </row>
    <row r="3693" ht="12.75">
      <c r="D3693" s="30"/>
    </row>
    <row r="3694" ht="12.75">
      <c r="D3694" s="30"/>
    </row>
    <row r="3695" ht="12.75">
      <c r="D3695" s="30"/>
    </row>
    <row r="3696" ht="12.75">
      <c r="D3696" s="30"/>
    </row>
    <row r="3697" ht="12.75">
      <c r="D3697" s="30"/>
    </row>
    <row r="3698" ht="12.75">
      <c r="D3698" s="30"/>
    </row>
    <row r="3699" ht="12.75">
      <c r="D3699" s="30"/>
    </row>
    <row r="3700" ht="12.75">
      <c r="D3700" s="30"/>
    </row>
    <row r="3701" ht="12.75">
      <c r="D3701" s="30"/>
    </row>
    <row r="3702" ht="12.75">
      <c r="D3702" s="30"/>
    </row>
    <row r="3703" ht="12.75">
      <c r="D3703" s="30"/>
    </row>
    <row r="3704" ht="12.75">
      <c r="D3704" s="30"/>
    </row>
    <row r="3705" ht="12.75">
      <c r="D3705" s="30"/>
    </row>
    <row r="3706" ht="12.75">
      <c r="D3706" s="30"/>
    </row>
    <row r="3707" ht="12.75">
      <c r="D3707" s="30"/>
    </row>
    <row r="3708" ht="12.75">
      <c r="D3708" s="30"/>
    </row>
    <row r="3709" ht="12.75">
      <c r="D3709" s="30"/>
    </row>
    <row r="3710" ht="12.75">
      <c r="D3710" s="30"/>
    </row>
    <row r="3711" ht="12.75">
      <c r="D3711" s="30"/>
    </row>
    <row r="3712" ht="12.75">
      <c r="D3712" s="30"/>
    </row>
    <row r="3713" ht="12.75">
      <c r="D3713" s="30"/>
    </row>
    <row r="3714" ht="12.75">
      <c r="D3714" s="30"/>
    </row>
    <row r="3715" ht="12.75">
      <c r="D3715" s="30"/>
    </row>
    <row r="3716" ht="12.75">
      <c r="D3716" s="30"/>
    </row>
    <row r="3717" ht="12.75">
      <c r="D3717" s="30"/>
    </row>
    <row r="3718" ht="12.75">
      <c r="D3718" s="30"/>
    </row>
    <row r="3719" ht="12.75">
      <c r="D3719" s="30"/>
    </row>
    <row r="3720" ht="12.75">
      <c r="D3720" s="30"/>
    </row>
    <row r="3721" ht="12.75">
      <c r="D3721" s="30"/>
    </row>
    <row r="3722" ht="12.75">
      <c r="D3722" s="30"/>
    </row>
    <row r="3723" ht="12.75">
      <c r="D3723" s="30"/>
    </row>
    <row r="3724" ht="12.75">
      <c r="D3724" s="30"/>
    </row>
    <row r="3725" ht="12.75">
      <c r="D3725" s="30"/>
    </row>
    <row r="3726" ht="12.75">
      <c r="D3726" s="30"/>
    </row>
    <row r="3727" ht="12.75">
      <c r="D3727" s="30"/>
    </row>
    <row r="3728" ht="12.75">
      <c r="D3728" s="30"/>
    </row>
    <row r="3729" ht="12.75">
      <c r="D3729" s="30"/>
    </row>
    <row r="3730" ht="12.75">
      <c r="D3730" s="30"/>
    </row>
    <row r="3731" ht="12.75">
      <c r="D3731" s="30"/>
    </row>
    <row r="3732" ht="12.75">
      <c r="D3732" s="30"/>
    </row>
    <row r="3733" ht="12.75">
      <c r="D3733" s="30"/>
    </row>
    <row r="3734" ht="12.75">
      <c r="D3734" s="30"/>
    </row>
    <row r="3735" ht="12.75">
      <c r="D3735" s="30"/>
    </row>
    <row r="3736" ht="12.75">
      <c r="D3736" s="30"/>
    </row>
    <row r="3737" ht="12.75">
      <c r="D3737" s="30"/>
    </row>
    <row r="3738" ht="12.75">
      <c r="D3738" s="30"/>
    </row>
    <row r="3739" ht="12.75">
      <c r="D3739" s="30"/>
    </row>
    <row r="3740" ht="12.75">
      <c r="D3740" s="30"/>
    </row>
    <row r="3741" ht="12.75">
      <c r="D3741" s="30"/>
    </row>
    <row r="3742" ht="12.75">
      <c r="D3742" s="30"/>
    </row>
    <row r="3743" ht="12.75">
      <c r="D3743" s="30"/>
    </row>
    <row r="3744" ht="12.75">
      <c r="D3744" s="30"/>
    </row>
    <row r="3745" ht="12.75">
      <c r="D3745" s="30"/>
    </row>
    <row r="3746" ht="12.75">
      <c r="D3746" s="30"/>
    </row>
    <row r="3747" ht="12.75">
      <c r="D3747" s="30"/>
    </row>
    <row r="3748" ht="12.75">
      <c r="D3748" s="30"/>
    </row>
    <row r="3749" ht="12.75">
      <c r="D3749" s="30"/>
    </row>
    <row r="3750" ht="12.75">
      <c r="D3750" s="30"/>
    </row>
    <row r="3751" ht="12.75">
      <c r="D3751" s="30"/>
    </row>
    <row r="3752" ht="12.75">
      <c r="D3752" s="30"/>
    </row>
    <row r="3753" ht="12.75">
      <c r="D3753" s="30"/>
    </row>
    <row r="3754" ht="12.75">
      <c r="D3754" s="30"/>
    </row>
    <row r="3755" ht="12.75">
      <c r="D3755" s="30"/>
    </row>
    <row r="3756" ht="12.75">
      <c r="D3756" s="30"/>
    </row>
    <row r="3757" ht="12.75">
      <c r="D3757" s="30"/>
    </row>
    <row r="3758" ht="12.75">
      <c r="D3758" s="30"/>
    </row>
    <row r="3759" ht="12.75">
      <c r="D3759" s="30"/>
    </row>
    <row r="3760" ht="12.75">
      <c r="D3760" s="30"/>
    </row>
    <row r="3761" ht="12.75">
      <c r="D3761" s="30"/>
    </row>
    <row r="3762" ht="12.75">
      <c r="D3762" s="30"/>
    </row>
    <row r="3763" ht="12.75">
      <c r="D3763" s="30"/>
    </row>
    <row r="3764" ht="12.75">
      <c r="D3764" s="30"/>
    </row>
    <row r="3765" ht="12.75">
      <c r="D3765" s="30"/>
    </row>
    <row r="3766" ht="12.75">
      <c r="D3766" s="30"/>
    </row>
    <row r="3767" ht="12.75">
      <c r="D3767" s="30"/>
    </row>
    <row r="3768" ht="12.75">
      <c r="D3768" s="30"/>
    </row>
    <row r="3769" ht="12.75">
      <c r="D3769" s="30"/>
    </row>
    <row r="3770" ht="12.75">
      <c r="D3770" s="30"/>
    </row>
    <row r="3771" ht="12.75">
      <c r="D3771" s="30"/>
    </row>
    <row r="3772" ht="12.75">
      <c r="D3772" s="30"/>
    </row>
    <row r="3773" ht="12.75">
      <c r="D3773" s="30"/>
    </row>
    <row r="3774" ht="12.75">
      <c r="D3774" s="30"/>
    </row>
    <row r="3775" ht="12.75">
      <c r="D3775" s="30"/>
    </row>
    <row r="3776" ht="12.75">
      <c r="D3776" s="30"/>
    </row>
    <row r="3777" ht="12.75">
      <c r="D3777" s="30"/>
    </row>
    <row r="3778" ht="12.75">
      <c r="D3778" s="30"/>
    </row>
    <row r="3779" ht="12.75">
      <c r="D3779" s="30"/>
    </row>
    <row r="3780" ht="12.75">
      <c r="D3780" s="30"/>
    </row>
    <row r="3781" ht="12.75">
      <c r="D3781" s="30"/>
    </row>
    <row r="3782" ht="12.75">
      <c r="D3782" s="30"/>
    </row>
    <row r="3783" ht="12.75">
      <c r="D3783" s="30"/>
    </row>
    <row r="3784" ht="12.75">
      <c r="D3784" s="30"/>
    </row>
    <row r="3785" ht="12.75">
      <c r="D3785" s="30"/>
    </row>
    <row r="3786" ht="12.75">
      <c r="D3786" s="30"/>
    </row>
    <row r="3787" ht="12.75">
      <c r="D3787" s="30"/>
    </row>
    <row r="3788" ht="12.75">
      <c r="D3788" s="30"/>
    </row>
    <row r="3789" ht="12.75">
      <c r="D3789" s="30"/>
    </row>
    <row r="3790" ht="12.75">
      <c r="D3790" s="30"/>
    </row>
    <row r="3791" ht="12.75">
      <c r="D3791" s="30"/>
    </row>
    <row r="3792" ht="12.75">
      <c r="D3792" s="30"/>
    </row>
    <row r="3793" ht="12.75">
      <c r="D3793" s="30"/>
    </row>
    <row r="3794" ht="12.75">
      <c r="D3794" s="30"/>
    </row>
    <row r="3795" ht="12.75">
      <c r="D3795" s="30"/>
    </row>
    <row r="3796" ht="12.75">
      <c r="D3796" s="30"/>
    </row>
    <row r="3797" ht="12.75">
      <c r="D3797" s="30"/>
    </row>
    <row r="3798" ht="12.75">
      <c r="D3798" s="30"/>
    </row>
    <row r="3799" ht="12.75">
      <c r="D3799" s="30"/>
    </row>
    <row r="3800" ht="12.75">
      <c r="D3800" s="30"/>
    </row>
    <row r="3801" ht="12.75">
      <c r="D3801" s="30"/>
    </row>
    <row r="3802" ht="12.75">
      <c r="D3802" s="30"/>
    </row>
    <row r="3803" ht="12.75">
      <c r="D3803" s="30"/>
    </row>
    <row r="3804" ht="12.75">
      <c r="D3804" s="30"/>
    </row>
    <row r="3805" ht="12.75">
      <c r="D3805" s="30"/>
    </row>
    <row r="3806" ht="12.75">
      <c r="D3806" s="30"/>
    </row>
    <row r="3807" ht="12.75">
      <c r="D3807" s="30"/>
    </row>
    <row r="3808" ht="12.75">
      <c r="D3808" s="30"/>
    </row>
    <row r="3809" ht="12.75">
      <c r="D3809" s="30"/>
    </row>
    <row r="3810" ht="12.75">
      <c r="D3810" s="30"/>
    </row>
    <row r="3811" ht="12.75">
      <c r="D3811" s="30"/>
    </row>
    <row r="3812" ht="12.75">
      <c r="D3812" s="30"/>
    </row>
    <row r="3813" ht="12.75">
      <c r="D3813" s="30"/>
    </row>
    <row r="3814" ht="12.75">
      <c r="D3814" s="30"/>
    </row>
    <row r="3815" ht="12.75">
      <c r="D3815" s="30"/>
    </row>
    <row r="3816" ht="12.75">
      <c r="D3816" s="30"/>
    </row>
    <row r="3817" ht="12.75">
      <c r="D3817" s="30"/>
    </row>
    <row r="3818" ht="12.75">
      <c r="D3818" s="30"/>
    </row>
    <row r="3819" ht="12.75">
      <c r="D3819" s="30"/>
    </row>
    <row r="3820" ht="12.75">
      <c r="D3820" s="30"/>
    </row>
    <row r="3821" ht="12.75">
      <c r="D3821" s="30"/>
    </row>
    <row r="3822" ht="12.75">
      <c r="D3822" s="30"/>
    </row>
    <row r="3823" ht="12.75">
      <c r="D3823" s="30"/>
    </row>
    <row r="3824" ht="12.75">
      <c r="D3824" s="30"/>
    </row>
    <row r="3825" ht="12.75">
      <c r="D3825" s="30"/>
    </row>
    <row r="3826" ht="12.75">
      <c r="D3826" s="30"/>
    </row>
    <row r="3827" ht="12.75">
      <c r="D3827" s="30"/>
    </row>
    <row r="3828" ht="12.75">
      <c r="D3828" s="30"/>
    </row>
    <row r="3829" ht="12.75">
      <c r="D3829" s="30"/>
    </row>
    <row r="3830" ht="12.75">
      <c r="D3830" s="30"/>
    </row>
    <row r="3831" ht="12.75">
      <c r="D3831" s="30"/>
    </row>
    <row r="3832" ht="12.75">
      <c r="D3832" s="30"/>
    </row>
    <row r="3833" ht="12.75">
      <c r="D3833" s="30"/>
    </row>
    <row r="3834" ht="12.75">
      <c r="D3834" s="30"/>
    </row>
    <row r="3835" ht="12.75">
      <c r="D3835" s="30"/>
    </row>
    <row r="3836" ht="12.75">
      <c r="D3836" s="30"/>
    </row>
    <row r="3837" ht="12.75">
      <c r="D3837" s="30"/>
    </row>
    <row r="3838" ht="12.75">
      <c r="D3838" s="30"/>
    </row>
    <row r="3839" ht="12.75">
      <c r="D3839" s="30"/>
    </row>
    <row r="3840" ht="12.75">
      <c r="D3840" s="30"/>
    </row>
    <row r="3841" ht="12.75">
      <c r="D3841" s="30"/>
    </row>
    <row r="3842" ht="12.75">
      <c r="D3842" s="30"/>
    </row>
    <row r="3843" ht="12.75">
      <c r="D3843" s="30"/>
    </row>
    <row r="3844" ht="12.75">
      <c r="D3844" s="30"/>
    </row>
    <row r="3845" ht="12.75">
      <c r="D3845" s="30"/>
    </row>
    <row r="3846" ht="12.75">
      <c r="D3846" s="30"/>
    </row>
    <row r="3847" ht="12.75">
      <c r="D3847" s="30"/>
    </row>
    <row r="3848" ht="12.75">
      <c r="D3848" s="30"/>
    </row>
    <row r="3849" ht="12.75">
      <c r="D3849" s="30"/>
    </row>
    <row r="3850" ht="12.75">
      <c r="D3850" s="30"/>
    </row>
    <row r="3851" ht="12.75">
      <c r="D3851" s="30"/>
    </row>
    <row r="3852" ht="12.75">
      <c r="D3852" s="30"/>
    </row>
    <row r="3853" ht="12.75">
      <c r="D3853" s="30"/>
    </row>
    <row r="3854" ht="12.75">
      <c r="D3854" s="30"/>
    </row>
    <row r="3855" ht="12.75">
      <c r="D3855" s="30"/>
    </row>
    <row r="3856" ht="12.75">
      <c r="D3856" s="30"/>
    </row>
    <row r="3857" ht="12.75">
      <c r="D3857" s="30"/>
    </row>
    <row r="3858" ht="12.75">
      <c r="D3858" s="30"/>
    </row>
    <row r="3859" ht="12.75">
      <c r="D3859" s="30"/>
    </row>
    <row r="3860" ht="12.75">
      <c r="D3860" s="30"/>
    </row>
    <row r="3861" ht="12.75">
      <c r="D3861" s="30"/>
    </row>
    <row r="3862" ht="12.75">
      <c r="D3862" s="30"/>
    </row>
    <row r="3863" ht="12.75">
      <c r="D3863" s="30"/>
    </row>
    <row r="3864" ht="12.75">
      <c r="D3864" s="30"/>
    </row>
    <row r="3865" ht="12.75">
      <c r="D3865" s="30"/>
    </row>
    <row r="3866" ht="12.75">
      <c r="D3866" s="30"/>
    </row>
    <row r="3867" ht="12.75">
      <c r="D3867" s="30"/>
    </row>
    <row r="3868" ht="12.75">
      <c r="D3868" s="30"/>
    </row>
    <row r="3869" ht="12.75">
      <c r="D3869" s="30"/>
    </row>
    <row r="3870" ht="12.75">
      <c r="D3870" s="30"/>
    </row>
    <row r="3871" ht="12.75">
      <c r="D3871" s="30"/>
    </row>
    <row r="3872" ht="12.75">
      <c r="D3872" s="30"/>
    </row>
    <row r="3873" ht="12.75">
      <c r="D3873" s="30"/>
    </row>
    <row r="3874" ht="12.75">
      <c r="D3874" s="30"/>
    </row>
    <row r="3875" ht="12.75">
      <c r="D3875" s="30"/>
    </row>
    <row r="3876" ht="12.75">
      <c r="D3876" s="30"/>
    </row>
    <row r="3877" ht="12.75">
      <c r="D3877" s="30"/>
    </row>
    <row r="3878" ht="12.75">
      <c r="D3878" s="30"/>
    </row>
    <row r="3879" ht="12.75">
      <c r="D3879" s="30"/>
    </row>
    <row r="3880" ht="12.75">
      <c r="D3880" s="30"/>
    </row>
    <row r="3881" ht="12.75">
      <c r="D3881" s="30"/>
    </row>
    <row r="3882" ht="12.75">
      <c r="D3882" s="30"/>
    </row>
    <row r="3883" ht="12.75">
      <c r="D3883" s="30"/>
    </row>
    <row r="3884" ht="12.75">
      <c r="D3884" s="30"/>
    </row>
    <row r="3885" ht="12.75">
      <c r="D3885" s="30"/>
    </row>
    <row r="3886" ht="12.75">
      <c r="D3886" s="30"/>
    </row>
    <row r="3887" ht="12.75">
      <c r="D3887" s="30"/>
    </row>
    <row r="3888" ht="12.75">
      <c r="D3888" s="30"/>
    </row>
    <row r="3889" ht="12.75">
      <c r="D3889" s="30"/>
    </row>
    <row r="3890" ht="12.75">
      <c r="D3890" s="30"/>
    </row>
    <row r="3891" ht="12.75">
      <c r="D3891" s="30"/>
    </row>
    <row r="3892" ht="12.75">
      <c r="D3892" s="30"/>
    </row>
    <row r="3893" ht="12.75">
      <c r="D3893" s="30"/>
    </row>
    <row r="3894" ht="12.75">
      <c r="D3894" s="30"/>
    </row>
    <row r="3895" ht="12.75">
      <c r="D3895" s="30"/>
    </row>
    <row r="3896" ht="12.75">
      <c r="D3896" s="30"/>
    </row>
    <row r="3897" ht="12.75">
      <c r="D3897" s="30"/>
    </row>
    <row r="3898" ht="12.75">
      <c r="D3898" s="30"/>
    </row>
    <row r="3899" ht="12.75">
      <c r="D3899" s="30"/>
    </row>
    <row r="3900" ht="12.75">
      <c r="D3900" s="30"/>
    </row>
    <row r="3901" ht="12.75">
      <c r="D3901" s="30"/>
    </row>
    <row r="3902" ht="12.75">
      <c r="D3902" s="30"/>
    </row>
    <row r="3903" ht="12.75">
      <c r="D3903" s="30"/>
    </row>
    <row r="3904" ht="12.75">
      <c r="D3904" s="30"/>
    </row>
    <row r="3905" ht="12.75">
      <c r="D3905" s="30"/>
    </row>
    <row r="3906" ht="12.75">
      <c r="D3906" s="30"/>
    </row>
    <row r="3907" ht="12.75">
      <c r="D3907" s="30"/>
    </row>
    <row r="3908" ht="12.75">
      <c r="D3908" s="30"/>
    </row>
    <row r="3909" ht="12.75">
      <c r="D3909" s="30"/>
    </row>
    <row r="3910" ht="12.75">
      <c r="D3910" s="30"/>
    </row>
    <row r="3911" ht="12.75">
      <c r="D3911" s="30"/>
    </row>
    <row r="3912" ht="12.75">
      <c r="D3912" s="30"/>
    </row>
    <row r="3913" ht="12.75">
      <c r="D3913" s="30"/>
    </row>
    <row r="3914" ht="12.75">
      <c r="D3914" s="30"/>
    </row>
    <row r="3915" ht="12.75">
      <c r="D3915" s="30"/>
    </row>
    <row r="3916" ht="12.75">
      <c r="D3916" s="30"/>
    </row>
    <row r="3917" ht="12.75">
      <c r="D3917" s="30"/>
    </row>
    <row r="3918" ht="12.75">
      <c r="D3918" s="30"/>
    </row>
    <row r="3919" ht="12.75">
      <c r="D3919" s="30"/>
    </row>
    <row r="3920" ht="12.75">
      <c r="D3920" s="30"/>
    </row>
    <row r="3921" ht="12.75">
      <c r="D3921" s="30"/>
    </row>
    <row r="3922" ht="12.75">
      <c r="D3922" s="30"/>
    </row>
    <row r="3923" ht="12.75">
      <c r="D3923" s="30"/>
    </row>
    <row r="3924" ht="12.75">
      <c r="D3924" s="30"/>
    </row>
    <row r="3925" ht="12.75">
      <c r="D3925" s="30"/>
    </row>
    <row r="3926" ht="12.75">
      <c r="D3926" s="30"/>
    </row>
    <row r="3927" ht="12.75">
      <c r="D3927" s="30"/>
    </row>
    <row r="3928" ht="12.75">
      <c r="D3928" s="30"/>
    </row>
    <row r="3929" ht="12.75">
      <c r="D3929" s="30"/>
    </row>
    <row r="3930" ht="12.75">
      <c r="D3930" s="30"/>
    </row>
    <row r="3931" ht="12.75">
      <c r="D3931" s="30"/>
    </row>
    <row r="3932" ht="12.75">
      <c r="D3932" s="30"/>
    </row>
    <row r="3933" ht="12.75">
      <c r="D3933" s="30"/>
    </row>
    <row r="3934" ht="12.75">
      <c r="D3934" s="30"/>
    </row>
    <row r="3935" ht="12.75">
      <c r="D3935" s="30"/>
    </row>
    <row r="3936" ht="12.75">
      <c r="D3936" s="30"/>
    </row>
    <row r="3937" ht="12.75">
      <c r="D3937" s="30"/>
    </row>
    <row r="3938" ht="12.75">
      <c r="D3938" s="30"/>
    </row>
    <row r="3939" ht="12.75">
      <c r="D3939" s="30"/>
    </row>
    <row r="3940" ht="12.75">
      <c r="D3940" s="30"/>
    </row>
    <row r="3941" ht="12.75">
      <c r="D3941" s="30"/>
    </row>
    <row r="3942" ht="12.75">
      <c r="D3942" s="30"/>
    </row>
    <row r="3943" ht="12.75">
      <c r="D3943" s="30"/>
    </row>
    <row r="3944" ht="12.75">
      <c r="D3944" s="30"/>
    </row>
    <row r="3945" ht="12.75">
      <c r="D3945" s="30"/>
    </row>
    <row r="3946" ht="12.75">
      <c r="D3946" s="30"/>
    </row>
    <row r="3947" ht="12.75">
      <c r="D3947" s="30"/>
    </row>
    <row r="3948" ht="12.75">
      <c r="D3948" s="30"/>
    </row>
    <row r="3949" ht="12.75">
      <c r="D3949" s="30"/>
    </row>
    <row r="3950" ht="12.75">
      <c r="D3950" s="30"/>
    </row>
    <row r="3951" ht="12.75">
      <c r="D3951" s="30"/>
    </row>
    <row r="3952" ht="12.75">
      <c r="D3952" s="30"/>
    </row>
    <row r="3953" ht="12.75">
      <c r="D3953" s="30"/>
    </row>
    <row r="3954" ht="12.75">
      <c r="D3954" s="30"/>
    </row>
    <row r="3955" ht="12.75">
      <c r="D3955" s="30"/>
    </row>
    <row r="3956" ht="12.75">
      <c r="D3956" s="30"/>
    </row>
    <row r="3957" ht="12.75">
      <c r="D3957" s="30"/>
    </row>
    <row r="3958" ht="12.75">
      <c r="D3958" s="30"/>
    </row>
    <row r="3959" ht="12.75">
      <c r="D3959" s="30"/>
    </row>
    <row r="3960" ht="12.75">
      <c r="D3960" s="30"/>
    </row>
    <row r="3961" ht="12.75">
      <c r="D3961" s="30"/>
    </row>
    <row r="3962" ht="12.75">
      <c r="D3962" s="30"/>
    </row>
    <row r="3963" ht="12.75">
      <c r="D3963" s="30"/>
    </row>
    <row r="3964" ht="12.75">
      <c r="D3964" s="30"/>
    </row>
    <row r="3965" ht="12.75">
      <c r="D3965" s="30"/>
    </row>
    <row r="3966" ht="12.75">
      <c r="D3966" s="30"/>
    </row>
    <row r="3967" ht="12.75">
      <c r="D3967" s="30"/>
    </row>
    <row r="3968" ht="12.75">
      <c r="D3968" s="30"/>
    </row>
    <row r="3969" ht="12.75">
      <c r="D3969" s="30"/>
    </row>
    <row r="3970" ht="12.75">
      <c r="D3970" s="30"/>
    </row>
    <row r="3971" ht="12.75">
      <c r="D3971" s="30"/>
    </row>
    <row r="3972" ht="12.75">
      <c r="D3972" s="30"/>
    </row>
    <row r="3973" ht="12.75">
      <c r="D3973" s="30"/>
    </row>
    <row r="3974" ht="12.75">
      <c r="D3974" s="30"/>
    </row>
    <row r="3975" ht="12.75">
      <c r="D3975" s="30"/>
    </row>
    <row r="3976" ht="12.75">
      <c r="D3976" s="30"/>
    </row>
    <row r="3977" ht="12.75">
      <c r="D3977" s="30"/>
    </row>
    <row r="3978" ht="12.75">
      <c r="D3978" s="30"/>
    </row>
    <row r="3979" ht="12.75">
      <c r="D3979" s="30"/>
    </row>
    <row r="3980" ht="12.75">
      <c r="D3980" s="30"/>
    </row>
    <row r="3981" ht="12.75">
      <c r="D3981" s="30"/>
    </row>
    <row r="3982" ht="12.75">
      <c r="D3982" s="30"/>
    </row>
    <row r="3983" ht="12.75">
      <c r="D3983" s="30"/>
    </row>
    <row r="3984" ht="12.75">
      <c r="D3984" s="30"/>
    </row>
    <row r="3985" ht="12.75">
      <c r="D3985" s="30"/>
    </row>
    <row r="3986" ht="12.75">
      <c r="D3986" s="30"/>
    </row>
    <row r="3987" ht="12.75">
      <c r="D3987" s="30"/>
    </row>
    <row r="3988" ht="12.75">
      <c r="D3988" s="30"/>
    </row>
    <row r="3989" ht="12.75">
      <c r="D3989" s="30"/>
    </row>
    <row r="3990" ht="12.75">
      <c r="D3990" s="30"/>
    </row>
    <row r="3991" ht="12.75">
      <c r="D3991" s="30"/>
    </row>
    <row r="3992" ht="12.75">
      <c r="D3992" s="30"/>
    </row>
    <row r="3993" ht="12.75">
      <c r="D3993" s="30"/>
    </row>
    <row r="3994" ht="12.75">
      <c r="D3994" s="30"/>
    </row>
    <row r="3995" ht="12.75">
      <c r="D3995" s="30"/>
    </row>
    <row r="3996" ht="12.75">
      <c r="D3996" s="30"/>
    </row>
    <row r="3997" ht="12.75">
      <c r="D3997" s="30"/>
    </row>
    <row r="3998" ht="12.75">
      <c r="D3998" s="30"/>
    </row>
    <row r="3999" ht="12.75">
      <c r="D3999" s="30"/>
    </row>
    <row r="4000" ht="12.75">
      <c r="D4000" s="30"/>
    </row>
    <row r="4001" ht="12.75">
      <c r="D4001" s="30"/>
    </row>
    <row r="4002" ht="12.75">
      <c r="D4002" s="30"/>
    </row>
    <row r="4003" ht="12.75">
      <c r="D4003" s="30"/>
    </row>
    <row r="4004" ht="12.75">
      <c r="D4004" s="30"/>
    </row>
    <row r="4005" ht="12.75">
      <c r="D4005" s="30"/>
    </row>
    <row r="4006" ht="12.75">
      <c r="D4006" s="30"/>
    </row>
    <row r="4007" ht="12.75">
      <c r="D4007" s="30"/>
    </row>
    <row r="4008" ht="12.75">
      <c r="D4008" s="30"/>
    </row>
    <row r="4009" ht="12.75">
      <c r="D4009" s="30"/>
    </row>
    <row r="4010" ht="12.75">
      <c r="D4010" s="30"/>
    </row>
    <row r="4011" ht="12.75">
      <c r="D4011" s="30"/>
    </row>
    <row r="4012" ht="12.75">
      <c r="D4012" s="30"/>
    </row>
    <row r="4013" ht="12.75">
      <c r="D4013" s="30"/>
    </row>
    <row r="4014" ht="12.75">
      <c r="D4014" s="30"/>
    </row>
    <row r="4015" ht="12.75">
      <c r="D4015" s="30"/>
    </row>
    <row r="4016" ht="12.75">
      <c r="D4016" s="30"/>
    </row>
    <row r="4017" ht="12.75">
      <c r="D4017" s="30"/>
    </row>
    <row r="4018" ht="12.75">
      <c r="D4018" s="30"/>
    </row>
    <row r="4019" ht="12.75">
      <c r="D4019" s="30"/>
    </row>
    <row r="4020" ht="12.75">
      <c r="D4020" s="30"/>
    </row>
    <row r="4021" ht="12.75">
      <c r="D4021" s="30"/>
    </row>
    <row r="4022" ht="12.75">
      <c r="D4022" s="30"/>
    </row>
    <row r="4023" ht="12.75">
      <c r="D4023" s="30"/>
    </row>
    <row r="4024" ht="12.75">
      <c r="D4024" s="30"/>
    </row>
    <row r="4025" ht="12.75">
      <c r="D4025" s="30"/>
    </row>
    <row r="4026" ht="12.75">
      <c r="D4026" s="30"/>
    </row>
    <row r="4027" ht="12.75">
      <c r="D4027" s="30"/>
    </row>
    <row r="4028" ht="12.75">
      <c r="D4028" s="30"/>
    </row>
    <row r="4029" ht="12.75">
      <c r="D4029" s="30"/>
    </row>
    <row r="4030" ht="12.75">
      <c r="D4030" s="30"/>
    </row>
    <row r="4031" ht="12.75">
      <c r="D4031" s="30"/>
    </row>
    <row r="4032" ht="12.75">
      <c r="D4032" s="30"/>
    </row>
    <row r="4033" ht="12.75">
      <c r="D4033" s="30"/>
    </row>
    <row r="4034" ht="12.75">
      <c r="D4034" s="30"/>
    </row>
    <row r="4035" ht="12.75">
      <c r="D4035" s="30"/>
    </row>
    <row r="4036" ht="12.75">
      <c r="D4036" s="30"/>
    </row>
    <row r="4037" ht="12.75">
      <c r="D4037" s="30"/>
    </row>
    <row r="4038" ht="12.75">
      <c r="D4038" s="30"/>
    </row>
    <row r="4039" ht="12.75">
      <c r="D4039" s="30"/>
    </row>
    <row r="4040" ht="12.75">
      <c r="D4040" s="30"/>
    </row>
    <row r="4041" ht="12.75">
      <c r="D4041" s="30"/>
    </row>
    <row r="4042" ht="12.75">
      <c r="D4042" s="30"/>
    </row>
    <row r="4043" ht="12.75">
      <c r="D4043" s="30"/>
    </row>
    <row r="4044" ht="12.75">
      <c r="D4044" s="30"/>
    </row>
    <row r="4045" ht="12.75">
      <c r="D4045" s="30"/>
    </row>
    <row r="4046" ht="12.75">
      <c r="D4046" s="30"/>
    </row>
    <row r="4047" ht="12.75">
      <c r="D4047" s="30"/>
    </row>
    <row r="4048" ht="12.75">
      <c r="D4048" s="30"/>
    </row>
    <row r="4049" ht="12.75">
      <c r="D4049" s="30"/>
    </row>
    <row r="4050" ht="12.75">
      <c r="D4050" s="30"/>
    </row>
    <row r="4051" ht="12.75">
      <c r="D4051" s="30"/>
    </row>
    <row r="4052" ht="12.75">
      <c r="D4052" s="30"/>
    </row>
    <row r="4053" ht="12.75">
      <c r="D4053" s="30"/>
    </row>
    <row r="4054" ht="12.75">
      <c r="D4054" s="30"/>
    </row>
    <row r="4055" ht="12.75">
      <c r="D4055" s="30"/>
    </row>
    <row r="4056" ht="12.75">
      <c r="D4056" s="30"/>
    </row>
    <row r="4057" ht="12.75">
      <c r="D4057" s="30"/>
    </row>
    <row r="4058" ht="12.75">
      <c r="D4058" s="30"/>
    </row>
    <row r="4059" ht="12.75">
      <c r="D4059" s="30"/>
    </row>
    <row r="4060" ht="12.75">
      <c r="D4060" s="30"/>
    </row>
    <row r="4061" ht="12.75">
      <c r="D4061" s="30"/>
    </row>
    <row r="4062" ht="12.75">
      <c r="D4062" s="30"/>
    </row>
    <row r="4063" ht="12.75">
      <c r="D4063" s="30"/>
    </row>
    <row r="4064" ht="12.75">
      <c r="D4064" s="30"/>
    </row>
    <row r="4065" ht="12.75">
      <c r="D4065" s="30"/>
    </row>
    <row r="4066" ht="12.75">
      <c r="D4066" s="30"/>
    </row>
    <row r="4067" ht="12.75">
      <c r="D4067" s="30"/>
    </row>
    <row r="4068" ht="12.75">
      <c r="D4068" s="30"/>
    </row>
    <row r="4069" ht="12.75">
      <c r="D4069" s="30"/>
    </row>
    <row r="4070" ht="12.75">
      <c r="D4070" s="30"/>
    </row>
    <row r="4071" ht="12.75">
      <c r="D4071" s="30"/>
    </row>
    <row r="4072" ht="12.75">
      <c r="D4072" s="30"/>
    </row>
    <row r="4073" ht="12.75">
      <c r="D4073" s="30"/>
    </row>
    <row r="4074" ht="12.75">
      <c r="D4074" s="30"/>
    </row>
    <row r="4075" ht="12.75">
      <c r="D4075" s="30"/>
    </row>
    <row r="4076" ht="12.75">
      <c r="D4076" s="30"/>
    </row>
    <row r="4077" ht="12.75">
      <c r="D4077" s="30"/>
    </row>
    <row r="4078" ht="12.75">
      <c r="D4078" s="30"/>
    </row>
    <row r="4079" ht="12.75">
      <c r="D4079" s="30"/>
    </row>
    <row r="4080" ht="12.75">
      <c r="D4080" s="30"/>
    </row>
    <row r="4081" ht="12.75">
      <c r="D4081" s="30"/>
    </row>
    <row r="4082" ht="12.75">
      <c r="D4082" s="30"/>
    </row>
    <row r="4083" ht="12.75">
      <c r="D4083" s="30"/>
    </row>
    <row r="4084" ht="12.75">
      <c r="D4084" s="30"/>
    </row>
    <row r="4085" ht="12.75">
      <c r="D4085" s="30"/>
    </row>
    <row r="4086" ht="12.75">
      <c r="D4086" s="30"/>
    </row>
    <row r="4087" ht="12.75">
      <c r="D4087" s="30"/>
    </row>
    <row r="4088" ht="12.75">
      <c r="D4088" s="30"/>
    </row>
    <row r="4089" ht="12.75">
      <c r="D4089" s="30"/>
    </row>
    <row r="4090" ht="12.75">
      <c r="D4090" s="30"/>
    </row>
    <row r="4091" ht="12.75">
      <c r="D4091" s="30"/>
    </row>
    <row r="4092" ht="12.75">
      <c r="D4092" s="30"/>
    </row>
    <row r="4093" ht="12.75">
      <c r="D4093" s="30"/>
    </row>
    <row r="4094" ht="12.75">
      <c r="D4094" s="30"/>
    </row>
    <row r="4095" ht="12.75">
      <c r="D4095" s="30"/>
    </row>
    <row r="4096" ht="12.75">
      <c r="D4096" s="30"/>
    </row>
    <row r="4097" ht="12.75">
      <c r="D4097" s="30"/>
    </row>
    <row r="4098" ht="12.75">
      <c r="D4098" s="30"/>
    </row>
    <row r="4099" ht="12.75">
      <c r="D4099" s="30"/>
    </row>
    <row r="4100" ht="12.75">
      <c r="D4100" s="30"/>
    </row>
    <row r="4101" ht="12.75">
      <c r="D4101" s="30"/>
    </row>
    <row r="4102" ht="12.75">
      <c r="D4102" s="30"/>
    </row>
    <row r="4103" ht="12.75">
      <c r="D4103" s="30"/>
    </row>
    <row r="4104" ht="12.75">
      <c r="D4104" s="30"/>
    </row>
    <row r="4105" ht="12.75">
      <c r="D4105" s="30"/>
    </row>
    <row r="4106" ht="12.75">
      <c r="D4106" s="30"/>
    </row>
    <row r="4107" ht="12.75">
      <c r="D4107" s="30"/>
    </row>
    <row r="4108" ht="12.75">
      <c r="D4108" s="30"/>
    </row>
    <row r="4109" ht="12.75">
      <c r="D4109" s="30"/>
    </row>
    <row r="4110" ht="12.75">
      <c r="D4110" s="30"/>
    </row>
    <row r="4111" ht="12.75">
      <c r="D4111" s="30"/>
    </row>
    <row r="4112" ht="12.75">
      <c r="D4112" s="30"/>
    </row>
    <row r="4113" ht="12.75">
      <c r="D4113" s="30"/>
    </row>
    <row r="4114" ht="12.75">
      <c r="D4114" s="30"/>
    </row>
    <row r="4115" ht="12.75">
      <c r="D4115" s="30"/>
    </row>
    <row r="4116" ht="12.75">
      <c r="D4116" s="30"/>
    </row>
    <row r="4117" ht="12.75">
      <c r="D4117" s="30"/>
    </row>
    <row r="4118" ht="12.75">
      <c r="D4118" s="30"/>
    </row>
    <row r="4119" ht="12.75">
      <c r="D4119" s="30"/>
    </row>
    <row r="4120" ht="12.75">
      <c r="D4120" s="30"/>
    </row>
    <row r="4121" ht="12.75">
      <c r="D4121" s="30"/>
    </row>
    <row r="4122" ht="12.75">
      <c r="D4122" s="30"/>
    </row>
    <row r="4123" ht="12.75">
      <c r="D4123" s="30"/>
    </row>
    <row r="4124" ht="12.75">
      <c r="D4124" s="30"/>
    </row>
    <row r="4125" ht="12.75">
      <c r="D4125" s="30"/>
    </row>
    <row r="4126" ht="12.75">
      <c r="D4126" s="30"/>
    </row>
    <row r="4127" ht="12.75">
      <c r="D4127" s="30"/>
    </row>
    <row r="4128" ht="12.75">
      <c r="D4128" s="30"/>
    </row>
    <row r="4129" ht="12.75">
      <c r="D4129" s="30"/>
    </row>
    <row r="4130" ht="12.75">
      <c r="D4130" s="30"/>
    </row>
    <row r="4131" ht="12.75">
      <c r="D4131" s="30"/>
    </row>
    <row r="4132" ht="12.75">
      <c r="D4132" s="30"/>
    </row>
    <row r="4133" ht="12.75">
      <c r="D4133" s="30"/>
    </row>
    <row r="4134" ht="12.75">
      <c r="D4134" s="30"/>
    </row>
    <row r="4135" ht="12.75">
      <c r="D4135" s="30"/>
    </row>
    <row r="4136" ht="12.75">
      <c r="D4136" s="30"/>
    </row>
    <row r="4137" ht="12.75">
      <c r="D4137" s="30"/>
    </row>
    <row r="4138" ht="12.75">
      <c r="D4138" s="30"/>
    </row>
    <row r="4139" ht="12.75">
      <c r="D4139" s="30"/>
    </row>
    <row r="4140" ht="12.75">
      <c r="D4140" s="30"/>
    </row>
    <row r="4141" ht="12.75">
      <c r="D4141" s="30"/>
    </row>
    <row r="4142" ht="12.75">
      <c r="D4142" s="30"/>
    </row>
    <row r="4143" ht="12.75">
      <c r="D4143" s="30"/>
    </row>
    <row r="4144" ht="12.75">
      <c r="D4144" s="30"/>
    </row>
    <row r="4145" ht="12.75">
      <c r="D4145" s="30"/>
    </row>
    <row r="4146" ht="12.75">
      <c r="D4146" s="30"/>
    </row>
    <row r="4147" ht="12.75">
      <c r="D4147" s="30"/>
    </row>
    <row r="4148" ht="12.75">
      <c r="D4148" s="30"/>
    </row>
    <row r="4149" ht="12.75">
      <c r="D4149" s="30"/>
    </row>
    <row r="4150" ht="12.75">
      <c r="D4150" s="30"/>
    </row>
    <row r="4151" ht="12.75">
      <c r="D4151" s="30"/>
    </row>
    <row r="4152" ht="12.75">
      <c r="D4152" s="30"/>
    </row>
    <row r="4153" ht="12.75">
      <c r="D4153" s="30"/>
    </row>
    <row r="4154" ht="12.75">
      <c r="D4154" s="30"/>
    </row>
    <row r="4155" ht="12.75">
      <c r="D4155" s="30"/>
    </row>
    <row r="4156" ht="12.75">
      <c r="D4156" s="30"/>
    </row>
    <row r="4157" ht="12.75">
      <c r="D4157" s="30"/>
    </row>
    <row r="4158" ht="12.75">
      <c r="D4158" s="30"/>
    </row>
    <row r="4159" ht="12.75">
      <c r="D4159" s="30"/>
    </row>
    <row r="4160" ht="12.75">
      <c r="D4160" s="30"/>
    </row>
    <row r="4161" ht="12.75">
      <c r="D4161" s="30"/>
    </row>
    <row r="4162" ht="12.75">
      <c r="D4162" s="30"/>
    </row>
    <row r="4163" ht="12.75">
      <c r="D4163" s="30"/>
    </row>
    <row r="4164" ht="12.75">
      <c r="D4164" s="30"/>
    </row>
    <row r="4165" ht="12.75">
      <c r="D4165" s="30"/>
    </row>
    <row r="4166" ht="12.75">
      <c r="D4166" s="30"/>
    </row>
    <row r="4167" ht="12.75">
      <c r="D4167" s="30"/>
    </row>
    <row r="4168" ht="12.75">
      <c r="D4168" s="30"/>
    </row>
    <row r="4169" ht="12.75">
      <c r="D4169" s="30"/>
    </row>
    <row r="4170" ht="12.75">
      <c r="D4170" s="30"/>
    </row>
    <row r="4171" ht="12.75">
      <c r="D4171" s="30"/>
    </row>
    <row r="4172" ht="12.75">
      <c r="D4172" s="30"/>
    </row>
    <row r="4173" ht="12.75">
      <c r="D4173" s="30"/>
    </row>
    <row r="4174" ht="12.75">
      <c r="D4174" s="30"/>
    </row>
    <row r="4175" ht="12.75">
      <c r="D4175" s="30"/>
    </row>
    <row r="4176" ht="12.75">
      <c r="D4176" s="30"/>
    </row>
    <row r="4177" ht="12.75">
      <c r="D4177" s="30"/>
    </row>
    <row r="4178" ht="12.75">
      <c r="D4178" s="30"/>
    </row>
    <row r="4179" ht="12.75">
      <c r="D4179" s="30"/>
    </row>
    <row r="4180" ht="12.75">
      <c r="D4180" s="30"/>
    </row>
    <row r="4181" ht="12.75">
      <c r="D4181" s="30"/>
    </row>
    <row r="4182" ht="12.75">
      <c r="D4182" s="30"/>
    </row>
    <row r="4183" ht="12.75">
      <c r="D4183" s="30"/>
    </row>
    <row r="4184" ht="12.75">
      <c r="D4184" s="30"/>
    </row>
    <row r="4185" ht="12.75">
      <c r="D4185" s="30"/>
    </row>
    <row r="4186" ht="12.75">
      <c r="D4186" s="30"/>
    </row>
    <row r="4187" ht="12.75">
      <c r="D4187" s="30"/>
    </row>
    <row r="4188" ht="12.75">
      <c r="D4188" s="30"/>
    </row>
    <row r="4189" ht="12.75">
      <c r="D4189" s="30"/>
    </row>
    <row r="4190" ht="12.75">
      <c r="D4190" s="30"/>
    </row>
    <row r="4191" ht="12.75">
      <c r="D4191" s="30"/>
    </row>
    <row r="4192" ht="12.75">
      <c r="D4192" s="30"/>
    </row>
    <row r="4193" ht="12.75">
      <c r="D4193" s="30"/>
    </row>
    <row r="4194" ht="12.75">
      <c r="D4194" s="30"/>
    </row>
    <row r="4195" ht="12.75">
      <c r="D4195" s="30"/>
    </row>
    <row r="4196" ht="12.75">
      <c r="D4196" s="30"/>
    </row>
    <row r="4197" ht="12.75">
      <c r="D4197" s="30"/>
    </row>
    <row r="4198" ht="12.75">
      <c r="D4198" s="30"/>
    </row>
    <row r="4199" ht="12.75">
      <c r="D4199" s="30"/>
    </row>
    <row r="4200" ht="12.75">
      <c r="D4200" s="30"/>
    </row>
    <row r="4201" ht="12.75">
      <c r="D4201" s="30"/>
    </row>
    <row r="4202" ht="12.75">
      <c r="D4202" s="30"/>
    </row>
    <row r="4203" ht="12.75">
      <c r="D4203" s="30"/>
    </row>
    <row r="4204" ht="12.75">
      <c r="D4204" s="30"/>
    </row>
    <row r="4205" ht="12.75">
      <c r="D4205" s="30"/>
    </row>
    <row r="4206" ht="12.75">
      <c r="D4206" s="30"/>
    </row>
    <row r="4207" ht="12.75">
      <c r="D4207" s="30"/>
    </row>
    <row r="4208" ht="12.75">
      <c r="D4208" s="30"/>
    </row>
    <row r="4209" ht="12.75">
      <c r="D4209" s="30"/>
    </row>
    <row r="4210" ht="12.75">
      <c r="D4210" s="30"/>
    </row>
    <row r="4211" ht="12.75">
      <c r="D4211" s="30"/>
    </row>
    <row r="4212" ht="12.75">
      <c r="D4212" s="30"/>
    </row>
    <row r="4213" ht="12.75">
      <c r="D4213" s="30"/>
    </row>
    <row r="4214" ht="12.75">
      <c r="D4214" s="30"/>
    </row>
    <row r="4215" ht="12.75">
      <c r="D4215" s="30"/>
    </row>
    <row r="4216" ht="12.75">
      <c r="D4216" s="30"/>
    </row>
    <row r="4217" ht="12.75">
      <c r="D4217" s="30"/>
    </row>
    <row r="4218" ht="12.75">
      <c r="D4218" s="30"/>
    </row>
    <row r="4219" ht="12.75">
      <c r="D4219" s="30"/>
    </row>
    <row r="4220" ht="12.75">
      <c r="D4220" s="30"/>
    </row>
    <row r="4221" ht="12.75">
      <c r="D4221" s="30"/>
    </row>
    <row r="4222" ht="12.75">
      <c r="D4222" s="30"/>
    </row>
    <row r="4223" ht="12.75">
      <c r="D4223" s="30"/>
    </row>
    <row r="4224" ht="12.75">
      <c r="D4224" s="30"/>
    </row>
    <row r="4225" ht="12.75">
      <c r="D4225" s="30"/>
    </row>
    <row r="4226" ht="12.75">
      <c r="D4226" s="30"/>
    </row>
    <row r="4227" ht="12.75">
      <c r="D4227" s="30"/>
    </row>
    <row r="4228" ht="12.75">
      <c r="D4228" s="30"/>
    </row>
    <row r="4229" ht="12.75">
      <c r="D4229" s="30"/>
    </row>
    <row r="4230" ht="12.75">
      <c r="D4230" s="30"/>
    </row>
    <row r="4231" ht="12.75">
      <c r="D4231" s="30"/>
    </row>
    <row r="4232" ht="12.75">
      <c r="D4232" s="30"/>
    </row>
    <row r="4233" ht="12.75">
      <c r="D4233" s="30"/>
    </row>
    <row r="4234" ht="12.75">
      <c r="D4234" s="30"/>
    </row>
    <row r="4235" ht="12.75">
      <c r="D4235" s="30"/>
    </row>
    <row r="4236" ht="12.75">
      <c r="D4236" s="30"/>
    </row>
    <row r="4237" ht="12.75">
      <c r="D4237" s="30"/>
    </row>
    <row r="4238" ht="12.75">
      <c r="D4238" s="30"/>
    </row>
    <row r="4239" ht="12.75">
      <c r="D4239" s="30"/>
    </row>
    <row r="4240" ht="12.75">
      <c r="D4240" s="30"/>
    </row>
    <row r="4241" ht="12.75">
      <c r="D4241" s="30"/>
    </row>
    <row r="4242" ht="12.75">
      <c r="D4242" s="30"/>
    </row>
    <row r="4243" ht="12.75">
      <c r="D4243" s="30"/>
    </row>
    <row r="4244" ht="12.75">
      <c r="D4244" s="30"/>
    </row>
    <row r="4245" ht="12.75">
      <c r="D4245" s="30"/>
    </row>
    <row r="4246" ht="12.75">
      <c r="D4246" s="30"/>
    </row>
    <row r="4247" ht="12.75">
      <c r="D4247" s="30"/>
    </row>
    <row r="4248" ht="12.75">
      <c r="D4248" s="30"/>
    </row>
    <row r="4249" ht="12.75">
      <c r="D4249" s="30"/>
    </row>
    <row r="4250" ht="12.75">
      <c r="D4250" s="30"/>
    </row>
    <row r="4251" ht="12.75">
      <c r="D4251" s="30"/>
    </row>
    <row r="4252" ht="12.75">
      <c r="D4252" s="30"/>
    </row>
    <row r="4253" ht="12.75">
      <c r="D4253" s="30"/>
    </row>
    <row r="4254" ht="12.75">
      <c r="D4254" s="30"/>
    </row>
    <row r="4255" ht="12.75">
      <c r="D4255" s="30"/>
    </row>
    <row r="4256" ht="12.75">
      <c r="D4256" s="30"/>
    </row>
    <row r="4257" ht="12.75">
      <c r="D4257" s="30"/>
    </row>
    <row r="4258" ht="12.75">
      <c r="D4258" s="30"/>
    </row>
    <row r="4259" ht="12.75">
      <c r="D4259" s="30"/>
    </row>
    <row r="4260" ht="12.75">
      <c r="D4260" s="30"/>
    </row>
    <row r="4261" ht="12.75">
      <c r="D4261" s="30"/>
    </row>
    <row r="4262" ht="12.75">
      <c r="D4262" s="30"/>
    </row>
    <row r="4263" ht="12.75">
      <c r="D4263" s="30"/>
    </row>
    <row r="4264" ht="12.75">
      <c r="D4264" s="30"/>
    </row>
    <row r="4265" ht="12.75">
      <c r="D4265" s="30"/>
    </row>
    <row r="4266" ht="12.75">
      <c r="D4266" s="30"/>
    </row>
    <row r="4267" ht="12.75">
      <c r="D4267" s="30"/>
    </row>
    <row r="4268" ht="12.75">
      <c r="D4268" s="30"/>
    </row>
    <row r="4269" ht="12.75">
      <c r="D4269" s="30"/>
    </row>
    <row r="4270" ht="12.75">
      <c r="D4270" s="30"/>
    </row>
    <row r="4271" ht="12.75">
      <c r="D4271" s="30"/>
    </row>
    <row r="4272" ht="12.75">
      <c r="D4272" s="30"/>
    </row>
    <row r="4273" ht="12.75">
      <c r="D4273" s="30"/>
    </row>
    <row r="4274" ht="12.75">
      <c r="D4274" s="30"/>
    </row>
    <row r="4275" ht="12.75">
      <c r="D4275" s="30"/>
    </row>
    <row r="4276" ht="12.75">
      <c r="D4276" s="30"/>
    </row>
    <row r="4277" ht="12.75">
      <c r="D4277" s="30"/>
    </row>
    <row r="4278" ht="12.75">
      <c r="D4278" s="30"/>
    </row>
    <row r="4279" ht="12.75">
      <c r="D4279" s="30"/>
    </row>
    <row r="4280" ht="12.75">
      <c r="D4280" s="30"/>
    </row>
    <row r="4281" ht="12.75">
      <c r="D4281" s="30"/>
    </row>
    <row r="4282" ht="12.75">
      <c r="D4282" s="30"/>
    </row>
    <row r="4283" ht="12.75">
      <c r="D4283" s="30"/>
    </row>
    <row r="4284" ht="12.75">
      <c r="D4284" s="30"/>
    </row>
    <row r="4285" ht="12.75">
      <c r="D4285" s="30"/>
    </row>
    <row r="4286" ht="12.75">
      <c r="D4286" s="30"/>
    </row>
    <row r="4287" ht="12.75">
      <c r="D4287" s="30"/>
    </row>
    <row r="4288" ht="12.75">
      <c r="D4288" s="30"/>
    </row>
    <row r="4289" ht="12.75">
      <c r="D4289" s="30"/>
    </row>
    <row r="4290" ht="12.75">
      <c r="D4290" s="30"/>
    </row>
    <row r="4291" ht="12.75">
      <c r="D4291" s="30"/>
    </row>
    <row r="4292" ht="12.75">
      <c r="D4292" s="30"/>
    </row>
    <row r="4293" ht="12.75">
      <c r="D4293" s="30"/>
    </row>
    <row r="4294" ht="12.75">
      <c r="D4294" s="30"/>
    </row>
    <row r="4295" ht="12.75">
      <c r="D4295" s="30"/>
    </row>
    <row r="4296" ht="12.75">
      <c r="D4296" s="30"/>
    </row>
    <row r="4297" ht="12.75">
      <c r="D4297" s="30"/>
    </row>
    <row r="4298" ht="12.75">
      <c r="D4298" s="30"/>
    </row>
    <row r="4299" ht="12.75">
      <c r="D4299" s="30"/>
    </row>
    <row r="4300" ht="12.75">
      <c r="D4300" s="30"/>
    </row>
    <row r="4301" ht="12.75">
      <c r="D4301" s="30"/>
    </row>
    <row r="4302" ht="12.75">
      <c r="D4302" s="30"/>
    </row>
    <row r="4303" ht="12.75">
      <c r="D4303" s="30"/>
    </row>
    <row r="4304" ht="12.75">
      <c r="D4304" s="30"/>
    </row>
    <row r="4305" ht="12.75">
      <c r="D4305" s="30"/>
    </row>
    <row r="4306" ht="12.75">
      <c r="D4306" s="30"/>
    </row>
    <row r="4307" ht="12.75">
      <c r="D4307" s="30"/>
    </row>
    <row r="4308" ht="12.75">
      <c r="D4308" s="30"/>
    </row>
    <row r="4309" ht="12.75">
      <c r="D4309" s="30"/>
    </row>
    <row r="4310" ht="12.75">
      <c r="D4310" s="30"/>
    </row>
    <row r="4311" ht="12.75">
      <c r="D4311" s="30"/>
    </row>
    <row r="4312" ht="12.75">
      <c r="D4312" s="30"/>
    </row>
    <row r="4313" ht="12.75">
      <c r="D4313" s="30"/>
    </row>
    <row r="4314" ht="12.75">
      <c r="D4314" s="30"/>
    </row>
    <row r="4315" ht="12.75">
      <c r="D4315" s="30"/>
    </row>
    <row r="4316" ht="12.75">
      <c r="D4316" s="30"/>
    </row>
    <row r="4317" ht="12.75">
      <c r="D4317" s="30"/>
    </row>
    <row r="4318" ht="12.75">
      <c r="D4318" s="30"/>
    </row>
    <row r="4319" ht="12.75">
      <c r="D4319" s="30"/>
    </row>
    <row r="4320" ht="12.75">
      <c r="D4320" s="30"/>
    </row>
    <row r="4321" ht="12.75">
      <c r="D4321" s="30"/>
    </row>
    <row r="4322" ht="12.75">
      <c r="D4322" s="30"/>
    </row>
    <row r="4323" ht="12.75">
      <c r="D4323" s="30"/>
    </row>
    <row r="4324" ht="12.75">
      <c r="D4324" s="30"/>
    </row>
    <row r="4325" ht="12.75">
      <c r="D4325" s="30"/>
    </row>
    <row r="4326" ht="12.75">
      <c r="D4326" s="30"/>
    </row>
    <row r="4327" ht="12.75">
      <c r="D4327" s="30"/>
    </row>
    <row r="4328" ht="12.75">
      <c r="D4328" s="30"/>
    </row>
    <row r="4329" ht="12.75">
      <c r="D4329" s="30"/>
    </row>
    <row r="4330" ht="12.75">
      <c r="D4330" s="30"/>
    </row>
    <row r="4331" ht="12.75">
      <c r="D4331" s="30"/>
    </row>
    <row r="4332" ht="12.75">
      <c r="D4332" s="30"/>
    </row>
    <row r="4333" ht="12.75">
      <c r="D4333" s="30"/>
    </row>
    <row r="4334" ht="12.75">
      <c r="D4334" s="30"/>
    </row>
    <row r="4335" ht="12.75">
      <c r="D4335" s="30"/>
    </row>
    <row r="4336" ht="12.75">
      <c r="D4336" s="30"/>
    </row>
    <row r="4337" ht="12.75">
      <c r="D4337" s="30"/>
    </row>
    <row r="4338" ht="12.75">
      <c r="D4338" s="30"/>
    </row>
    <row r="4339" ht="12.75">
      <c r="D4339" s="30"/>
    </row>
    <row r="4340" ht="12.75">
      <c r="D4340" s="30"/>
    </row>
    <row r="4341" ht="12.75">
      <c r="D4341" s="30"/>
    </row>
    <row r="4342" ht="12.75">
      <c r="D4342" s="30"/>
    </row>
    <row r="4343" ht="12.75">
      <c r="D4343" s="30"/>
    </row>
    <row r="4344" ht="12.75">
      <c r="D4344" s="30"/>
    </row>
    <row r="4345" ht="12.75">
      <c r="D4345" s="30"/>
    </row>
    <row r="4346" ht="12.75">
      <c r="D4346" s="30"/>
    </row>
    <row r="4347" ht="12.75">
      <c r="D4347" s="30"/>
    </row>
    <row r="4348" ht="12.75">
      <c r="D4348" s="30"/>
    </row>
    <row r="4349" ht="12.75">
      <c r="D4349" s="30"/>
    </row>
    <row r="4350" ht="12.75">
      <c r="D4350" s="30"/>
    </row>
    <row r="4351" ht="12.75">
      <c r="D4351" s="30"/>
    </row>
    <row r="4352" ht="12.75">
      <c r="D4352" s="30"/>
    </row>
    <row r="4353" ht="12.75">
      <c r="D4353" s="30"/>
    </row>
    <row r="4354" ht="12.75">
      <c r="D4354" s="30"/>
    </row>
    <row r="4355" ht="12.75">
      <c r="D4355" s="30"/>
    </row>
    <row r="4356" ht="12.75">
      <c r="D4356" s="30"/>
    </row>
    <row r="4357" ht="12.75">
      <c r="D4357" s="30"/>
    </row>
    <row r="4358" ht="12.75">
      <c r="D4358" s="30"/>
    </row>
    <row r="4359" ht="12.75">
      <c r="D4359" s="30"/>
    </row>
    <row r="4360" ht="12.75">
      <c r="D4360" s="30"/>
    </row>
    <row r="4361" ht="12.75">
      <c r="D4361" s="30"/>
    </row>
    <row r="4362" ht="12.75">
      <c r="D4362" s="30"/>
    </row>
    <row r="4363" ht="12.75">
      <c r="D4363" s="30"/>
    </row>
    <row r="4364" ht="12.75">
      <c r="D4364" s="30"/>
    </row>
    <row r="4365" ht="12.75">
      <c r="D4365" s="30"/>
    </row>
    <row r="4366" ht="12.75">
      <c r="D4366" s="30"/>
    </row>
    <row r="4367" ht="12.75">
      <c r="D4367" s="30"/>
    </row>
    <row r="4368" ht="12.75">
      <c r="D4368" s="30"/>
    </row>
    <row r="4369" ht="12.75">
      <c r="D4369" s="30"/>
    </row>
    <row r="4370" ht="12.75">
      <c r="D4370" s="30"/>
    </row>
    <row r="4371" ht="12.75">
      <c r="D4371" s="30"/>
    </row>
    <row r="4372" ht="12.75">
      <c r="D4372" s="30"/>
    </row>
    <row r="4373" ht="12.75">
      <c r="D4373" s="30"/>
    </row>
    <row r="4374" ht="12.75">
      <c r="D4374" s="30"/>
    </row>
    <row r="4375" ht="12.75">
      <c r="D4375" s="30"/>
    </row>
    <row r="4376" ht="12.75">
      <c r="D4376" s="30"/>
    </row>
    <row r="4377" ht="12.75">
      <c r="D4377" s="30"/>
    </row>
    <row r="4378" ht="12.75">
      <c r="D4378" s="30"/>
    </row>
    <row r="4379" ht="12.75">
      <c r="D4379" s="30"/>
    </row>
    <row r="4380" ht="12.75">
      <c r="D4380" s="30"/>
    </row>
    <row r="4381" ht="12.75">
      <c r="D4381" s="30"/>
    </row>
    <row r="4382" ht="12.75">
      <c r="D4382" s="30"/>
    </row>
    <row r="4383" ht="12.75">
      <c r="D4383" s="30"/>
    </row>
    <row r="4384" ht="12.75">
      <c r="D4384" s="30"/>
    </row>
    <row r="4385" ht="12.75">
      <c r="D4385" s="30"/>
    </row>
    <row r="4386" ht="12.75">
      <c r="D4386" s="30"/>
    </row>
    <row r="4387" ht="12.75">
      <c r="D4387" s="30"/>
    </row>
    <row r="4388" ht="12.75">
      <c r="D4388" s="30"/>
    </row>
    <row r="4389" ht="12.75">
      <c r="D4389" s="30"/>
    </row>
    <row r="4390" ht="12.75">
      <c r="D4390" s="30"/>
    </row>
    <row r="4391" ht="12.75">
      <c r="D4391" s="30"/>
    </row>
    <row r="4392" ht="12.75">
      <c r="D4392" s="30"/>
    </row>
    <row r="4393" ht="12.75">
      <c r="D4393" s="30"/>
    </row>
    <row r="4394" ht="12.75">
      <c r="D4394" s="30"/>
    </row>
    <row r="4395" ht="12.75">
      <c r="D4395" s="30"/>
    </row>
    <row r="4396" ht="12.75">
      <c r="D4396" s="30"/>
    </row>
    <row r="4397" ht="12.75">
      <c r="D4397" s="30"/>
    </row>
    <row r="4398" ht="12.75">
      <c r="D4398" s="30"/>
    </row>
    <row r="4399" ht="12.75">
      <c r="D4399" s="30"/>
    </row>
    <row r="4400" ht="12.75">
      <c r="D4400" s="30"/>
    </row>
    <row r="4401" ht="12.75">
      <c r="D4401" s="30"/>
    </row>
    <row r="4402" ht="12.75">
      <c r="D4402" s="30"/>
    </row>
    <row r="4403" ht="12.75">
      <c r="D4403" s="30"/>
    </row>
    <row r="4404" ht="12.75">
      <c r="D4404" s="30"/>
    </row>
    <row r="4405" ht="12.75">
      <c r="D4405" s="30"/>
    </row>
    <row r="4406" ht="12.75">
      <c r="D4406" s="30"/>
    </row>
    <row r="4407" ht="12.75">
      <c r="D4407" s="30"/>
    </row>
    <row r="4408" ht="12.75">
      <c r="D4408" s="30"/>
    </row>
    <row r="4409" ht="12.75">
      <c r="D4409" s="30"/>
    </row>
    <row r="4410" ht="12.75">
      <c r="D4410" s="30"/>
    </row>
    <row r="4411" ht="12.75">
      <c r="D4411" s="30"/>
    </row>
    <row r="4412" ht="12.75">
      <c r="D4412" s="30"/>
    </row>
    <row r="4413" ht="12.75">
      <c r="D4413" s="30"/>
    </row>
    <row r="4414" ht="12.75">
      <c r="D4414" s="30"/>
    </row>
    <row r="4415" ht="12.75">
      <c r="D4415" s="30"/>
    </row>
    <row r="4416" ht="12.75">
      <c r="D4416" s="30"/>
    </row>
    <row r="4417" ht="12.75">
      <c r="D4417" s="30"/>
    </row>
    <row r="4418" ht="12.75">
      <c r="D4418" s="30"/>
    </row>
    <row r="4419" ht="12.75">
      <c r="D4419" s="30"/>
    </row>
    <row r="4420" ht="12.75">
      <c r="D4420" s="30"/>
    </row>
    <row r="4421" ht="12.75">
      <c r="D4421" s="30"/>
    </row>
    <row r="4422" ht="12.75">
      <c r="D4422" s="30"/>
    </row>
    <row r="4423" ht="12.75">
      <c r="D4423" s="30"/>
    </row>
    <row r="4424" ht="12.75">
      <c r="D4424" s="30"/>
    </row>
    <row r="4425" ht="12.75">
      <c r="D4425" s="30"/>
    </row>
    <row r="4426" ht="12.75">
      <c r="D4426" s="30"/>
    </row>
    <row r="4427" ht="12.75">
      <c r="D4427" s="30"/>
    </row>
    <row r="4428" ht="12.75">
      <c r="D4428" s="30"/>
    </row>
    <row r="4429" ht="12.75">
      <c r="D4429" s="30"/>
    </row>
    <row r="4430" ht="12.75">
      <c r="D4430" s="30"/>
    </row>
    <row r="4431" ht="12.75">
      <c r="D4431" s="30"/>
    </row>
    <row r="4432" ht="12.75">
      <c r="D4432" s="30"/>
    </row>
    <row r="4433" ht="12.75">
      <c r="D4433" s="30"/>
    </row>
    <row r="4434" ht="12.75">
      <c r="D4434" s="30"/>
    </row>
    <row r="4435" ht="12.75">
      <c r="D4435" s="30"/>
    </row>
    <row r="4436" ht="12.75">
      <c r="D4436" s="30"/>
    </row>
    <row r="4437" ht="12.75">
      <c r="D4437" s="30"/>
    </row>
    <row r="4438" ht="12.75">
      <c r="D4438" s="30"/>
    </row>
    <row r="4439" ht="12.75">
      <c r="D4439" s="30"/>
    </row>
    <row r="4440" ht="12.75">
      <c r="D4440" s="30"/>
    </row>
    <row r="4441" ht="12.75">
      <c r="D4441" s="30"/>
    </row>
    <row r="4442" ht="12.75">
      <c r="D4442" s="30"/>
    </row>
    <row r="4443" ht="12.75">
      <c r="D4443" s="30"/>
    </row>
    <row r="4444" ht="12.75">
      <c r="D4444" s="30"/>
    </row>
    <row r="4445" ht="12.75">
      <c r="D4445" s="30"/>
    </row>
    <row r="4446" ht="12.75">
      <c r="D4446" s="30"/>
    </row>
    <row r="4447" ht="12.75">
      <c r="D4447" s="30"/>
    </row>
    <row r="4448" ht="12.75">
      <c r="D4448" s="30"/>
    </row>
    <row r="4449" ht="12.75">
      <c r="D4449" s="30"/>
    </row>
    <row r="4450" ht="12.75">
      <c r="D4450" s="30"/>
    </row>
    <row r="4451" ht="12.75">
      <c r="D4451" s="30"/>
    </row>
    <row r="4452" ht="12.75">
      <c r="D4452" s="30"/>
    </row>
    <row r="4453" ht="12.75">
      <c r="D4453" s="30"/>
    </row>
    <row r="4454" ht="12.75">
      <c r="D4454" s="30"/>
    </row>
    <row r="4455" ht="12.75">
      <c r="D4455" s="30"/>
    </row>
    <row r="4456" ht="12.75">
      <c r="D4456" s="30"/>
    </row>
    <row r="4457" ht="12.75">
      <c r="D4457" s="30"/>
    </row>
    <row r="4458" ht="12.75">
      <c r="D4458" s="30"/>
    </row>
    <row r="4459" ht="12.75">
      <c r="D4459" s="30"/>
    </row>
    <row r="4460" ht="12.75">
      <c r="D4460" s="30"/>
    </row>
    <row r="4461" ht="12.75">
      <c r="D4461" s="30"/>
    </row>
    <row r="4462" ht="12.75">
      <c r="D4462" s="30"/>
    </row>
    <row r="4463" ht="12.75">
      <c r="D4463" s="30"/>
    </row>
    <row r="4464" ht="12.75">
      <c r="D4464" s="30"/>
    </row>
    <row r="4465" ht="12.75">
      <c r="D4465" s="30"/>
    </row>
    <row r="4466" ht="12.75">
      <c r="D4466" s="30"/>
    </row>
    <row r="4467" ht="12.75">
      <c r="D4467" s="30"/>
    </row>
    <row r="4468" ht="12.75">
      <c r="D4468" s="30"/>
    </row>
    <row r="4469" ht="12.75">
      <c r="D4469" s="30"/>
    </row>
    <row r="4470" ht="12.75">
      <c r="D4470" s="30"/>
    </row>
    <row r="4471" ht="12.75">
      <c r="D4471" s="30"/>
    </row>
    <row r="4472" ht="12.75">
      <c r="D4472" s="30"/>
    </row>
    <row r="4473" ht="12.75">
      <c r="D4473" s="30"/>
    </row>
    <row r="4474" ht="12.75">
      <c r="D4474" s="30"/>
    </row>
    <row r="4475" ht="12.75">
      <c r="D4475" s="30"/>
    </row>
    <row r="4476" ht="12.75">
      <c r="D4476" s="30"/>
    </row>
    <row r="4477" ht="12.75">
      <c r="D4477" s="30"/>
    </row>
    <row r="4478" ht="12.75">
      <c r="D4478" s="30"/>
    </row>
    <row r="4479" ht="12.75">
      <c r="D4479" s="30"/>
    </row>
    <row r="4480" ht="12.75">
      <c r="D4480" s="30"/>
    </row>
    <row r="4481" ht="12.75">
      <c r="D4481" s="30"/>
    </row>
    <row r="4482" ht="12.75">
      <c r="D4482" s="30"/>
    </row>
    <row r="4483" ht="12.75">
      <c r="D4483" s="30"/>
    </row>
    <row r="4484" ht="12.75">
      <c r="D4484" s="30"/>
    </row>
    <row r="4485" ht="12.75">
      <c r="D4485" s="30"/>
    </row>
    <row r="4486" ht="12.75">
      <c r="D4486" s="30"/>
    </row>
    <row r="4487" ht="12.75">
      <c r="D4487" s="30"/>
    </row>
    <row r="4488" ht="12.75">
      <c r="D4488" s="30"/>
    </row>
    <row r="4489" ht="12.75">
      <c r="D4489" s="30"/>
    </row>
    <row r="4490" ht="12.75">
      <c r="D4490" s="30"/>
    </row>
    <row r="4491" ht="12.75">
      <c r="D4491" s="30"/>
    </row>
    <row r="4492" ht="12.75">
      <c r="D4492" s="30"/>
    </row>
    <row r="4493" ht="12.75">
      <c r="D4493" s="30"/>
    </row>
    <row r="4494" ht="12.75">
      <c r="D4494" s="30"/>
    </row>
    <row r="4495" ht="12.75">
      <c r="D4495" s="30"/>
    </row>
    <row r="4496" ht="12.75">
      <c r="D4496" s="30"/>
    </row>
    <row r="4497" ht="12.75">
      <c r="D4497" s="30"/>
    </row>
    <row r="4498" ht="12.75">
      <c r="D4498" s="30"/>
    </row>
    <row r="4499" ht="12.75">
      <c r="D4499" s="30"/>
    </row>
    <row r="4500" ht="12.75">
      <c r="D4500" s="30"/>
    </row>
    <row r="4501" ht="12.75">
      <c r="D4501" s="30"/>
    </row>
    <row r="4502" ht="12.75">
      <c r="D4502" s="30"/>
    </row>
    <row r="4503" ht="12.75">
      <c r="D4503" s="30"/>
    </row>
    <row r="4504" ht="12.75">
      <c r="D4504" s="30"/>
    </row>
    <row r="4505" ht="12.75">
      <c r="D4505" s="30"/>
    </row>
    <row r="4506" ht="12.75">
      <c r="D4506" s="30"/>
    </row>
    <row r="4507" ht="12.75">
      <c r="D4507" s="30"/>
    </row>
    <row r="4508" ht="12.75">
      <c r="D4508" s="30"/>
    </row>
    <row r="4509" ht="12.75">
      <c r="D4509" s="30"/>
    </row>
    <row r="4510" ht="12.75">
      <c r="D4510" s="30"/>
    </row>
    <row r="4511" ht="12.75">
      <c r="D4511" s="30"/>
    </row>
    <row r="4512" ht="12.75">
      <c r="D4512" s="30"/>
    </row>
    <row r="4513" ht="12.75">
      <c r="D4513" s="30"/>
    </row>
    <row r="4514" ht="12.75">
      <c r="D4514" s="30"/>
    </row>
    <row r="4515" ht="12.75">
      <c r="D4515" s="30"/>
    </row>
    <row r="4516" ht="12.75">
      <c r="D4516" s="30"/>
    </row>
    <row r="4517" ht="12.75">
      <c r="D4517" s="30"/>
    </row>
    <row r="4518" ht="12.75">
      <c r="D4518" s="30"/>
    </row>
    <row r="4519" ht="12.75">
      <c r="D4519" s="30"/>
    </row>
    <row r="4520" ht="12.75">
      <c r="D4520" s="30"/>
    </row>
    <row r="4521" ht="12.75">
      <c r="D4521" s="30"/>
    </row>
    <row r="4522" ht="12.75">
      <c r="D4522" s="30"/>
    </row>
    <row r="4523" ht="12.75">
      <c r="D4523" s="30"/>
    </row>
    <row r="4524" ht="12.75">
      <c r="D4524" s="30"/>
    </row>
    <row r="4525" ht="12.75">
      <c r="D4525" s="30"/>
    </row>
    <row r="4526" ht="12.75">
      <c r="D4526" s="30"/>
    </row>
    <row r="4527" ht="12.75">
      <c r="D4527" s="30"/>
    </row>
    <row r="4528" ht="12.75">
      <c r="D4528" s="30"/>
    </row>
    <row r="4529" ht="12.75">
      <c r="D4529" s="30"/>
    </row>
    <row r="4530" ht="12.75">
      <c r="D4530" s="30"/>
    </row>
    <row r="4531" ht="12.75">
      <c r="D4531" s="30"/>
    </row>
    <row r="4532" ht="12.75">
      <c r="D4532" s="30"/>
    </row>
    <row r="4533" ht="12.75">
      <c r="D4533" s="30"/>
    </row>
    <row r="4534" ht="12.75">
      <c r="D4534" s="30"/>
    </row>
    <row r="4535" ht="12.75">
      <c r="D4535" s="30"/>
    </row>
    <row r="4536" ht="12.75">
      <c r="D4536" s="30"/>
    </row>
    <row r="4537" ht="12.75">
      <c r="D4537" s="30"/>
    </row>
    <row r="4538" ht="12.75">
      <c r="D4538" s="30"/>
    </row>
    <row r="4539" ht="12.75">
      <c r="D4539" s="30"/>
    </row>
    <row r="4540" ht="12.75">
      <c r="D4540" s="30"/>
    </row>
    <row r="4541" ht="12.75">
      <c r="D4541" s="30"/>
    </row>
    <row r="4542" ht="12.75">
      <c r="D4542" s="30"/>
    </row>
    <row r="4543" ht="12.75">
      <c r="D4543" s="30"/>
    </row>
    <row r="4544" ht="12.75">
      <c r="D4544" s="30"/>
    </row>
    <row r="4545" ht="12.75">
      <c r="D4545" s="30"/>
    </row>
    <row r="4546" ht="12.75">
      <c r="D4546" s="30"/>
    </row>
    <row r="4547" ht="12.75">
      <c r="D4547" s="30"/>
    </row>
    <row r="4548" ht="12.75">
      <c r="D4548" s="30"/>
    </row>
    <row r="4549" ht="12.75">
      <c r="D4549" s="30"/>
    </row>
    <row r="4550" ht="12.75">
      <c r="D4550" s="30"/>
    </row>
    <row r="4551" ht="12.75">
      <c r="D4551" s="30"/>
    </row>
    <row r="4552" ht="12.75">
      <c r="D4552" s="30"/>
    </row>
    <row r="4553" ht="12.75">
      <c r="D4553" s="30"/>
    </row>
    <row r="4554" ht="12.75">
      <c r="D4554" s="30"/>
    </row>
    <row r="4555" ht="12.75">
      <c r="D4555" s="30"/>
    </row>
    <row r="4556" ht="12.75">
      <c r="D4556" s="30"/>
    </row>
    <row r="4557" ht="12.75">
      <c r="D4557" s="30"/>
    </row>
    <row r="4558" ht="12.75">
      <c r="D4558" s="30"/>
    </row>
    <row r="4559" ht="12.75">
      <c r="D4559" s="30"/>
    </row>
    <row r="4560" ht="12.75">
      <c r="D4560" s="30"/>
    </row>
    <row r="4561" ht="12.75">
      <c r="D4561" s="30"/>
    </row>
    <row r="4562" ht="12.75">
      <c r="D4562" s="30"/>
    </row>
    <row r="4563" ht="12.75">
      <c r="D4563" s="30"/>
    </row>
    <row r="4564" ht="12.75">
      <c r="D4564" s="30"/>
    </row>
    <row r="4565" ht="12.75">
      <c r="D4565" s="30"/>
    </row>
    <row r="4566" ht="12.75">
      <c r="D4566" s="30"/>
    </row>
    <row r="4567" ht="12.75">
      <c r="D4567" s="30"/>
    </row>
    <row r="4568" ht="12.75">
      <c r="D4568" s="30"/>
    </row>
    <row r="4569" ht="12.75">
      <c r="D4569" s="30"/>
    </row>
    <row r="4570" ht="12.75">
      <c r="D4570" s="30"/>
    </row>
    <row r="4571" ht="12.75">
      <c r="D4571" s="30"/>
    </row>
    <row r="4572" ht="12.75">
      <c r="D4572" s="30"/>
    </row>
    <row r="4573" ht="12.75">
      <c r="D4573" s="30"/>
    </row>
    <row r="4574" ht="12.75">
      <c r="D4574" s="30"/>
    </row>
    <row r="4575" ht="12.75">
      <c r="D4575" s="30"/>
    </row>
    <row r="4576" ht="12.75">
      <c r="D4576" s="30"/>
    </row>
    <row r="4577" ht="12.75">
      <c r="D4577" s="30"/>
    </row>
    <row r="4578" ht="12.75">
      <c r="D4578" s="30"/>
    </row>
    <row r="4579" ht="12.75">
      <c r="D4579" s="30"/>
    </row>
    <row r="4580" ht="12.75">
      <c r="D4580" s="30"/>
    </row>
    <row r="4581" ht="12.75">
      <c r="D4581" s="30"/>
    </row>
    <row r="4582" ht="12.75">
      <c r="D4582" s="30"/>
    </row>
    <row r="4583" ht="12.75">
      <c r="D4583" s="30"/>
    </row>
    <row r="4584" ht="12.75">
      <c r="D4584" s="30"/>
    </row>
    <row r="4585" ht="12.75">
      <c r="D4585" s="30"/>
    </row>
    <row r="4586" ht="12.75">
      <c r="D4586" s="30"/>
    </row>
    <row r="4587" ht="12.75">
      <c r="D4587" s="30"/>
    </row>
    <row r="4588" ht="12.75">
      <c r="D4588" s="30"/>
    </row>
    <row r="4589" ht="12.75">
      <c r="D4589" s="30"/>
    </row>
    <row r="4590" ht="12.75">
      <c r="D4590" s="30"/>
    </row>
    <row r="4591" ht="12.75">
      <c r="D4591" s="30"/>
    </row>
    <row r="4592" ht="12.75">
      <c r="D4592" s="30"/>
    </row>
    <row r="4593" ht="12.75">
      <c r="D4593" s="30"/>
    </row>
    <row r="4594" ht="12.75">
      <c r="D4594" s="30"/>
    </row>
    <row r="4595" ht="12.75">
      <c r="D4595" s="30"/>
    </row>
    <row r="4596" ht="12.75">
      <c r="D4596" s="30"/>
    </row>
    <row r="4597" ht="12.75">
      <c r="D4597" s="30"/>
    </row>
    <row r="4598" ht="12.75">
      <c r="D4598" s="30"/>
    </row>
    <row r="4599" ht="12.75">
      <c r="D4599" s="30"/>
    </row>
    <row r="4600" ht="12.75">
      <c r="D4600" s="30"/>
    </row>
    <row r="4601" ht="12.75">
      <c r="D4601" s="30"/>
    </row>
    <row r="4602" ht="12.75">
      <c r="D4602" s="30"/>
    </row>
    <row r="4603" ht="12.75">
      <c r="D4603" s="30"/>
    </row>
    <row r="4604" ht="12.75">
      <c r="D4604" s="30"/>
    </row>
    <row r="4605" ht="12.75">
      <c r="D4605" s="30"/>
    </row>
    <row r="4606" ht="12.75">
      <c r="D4606" s="30"/>
    </row>
    <row r="4607" ht="12.75">
      <c r="D4607" s="30"/>
    </row>
    <row r="4608" ht="12.75">
      <c r="D4608" s="30"/>
    </row>
    <row r="4609" ht="12.75">
      <c r="D4609" s="30"/>
    </row>
    <row r="4610" ht="12.75">
      <c r="D4610" s="30"/>
    </row>
    <row r="4611" ht="12.75">
      <c r="D4611" s="30"/>
    </row>
    <row r="4612" ht="12.75">
      <c r="D4612" s="30"/>
    </row>
    <row r="4613" ht="12.75">
      <c r="D4613" s="30"/>
    </row>
    <row r="4614" ht="12.75">
      <c r="D4614" s="30"/>
    </row>
    <row r="4615" ht="12.75">
      <c r="D4615" s="30"/>
    </row>
    <row r="4616" ht="12.75">
      <c r="D4616" s="30"/>
    </row>
    <row r="4617" ht="12.75">
      <c r="D4617" s="30"/>
    </row>
    <row r="4618" ht="12.75">
      <c r="D4618" s="30"/>
    </row>
    <row r="4619" ht="12.75">
      <c r="D4619" s="30"/>
    </row>
    <row r="4620" ht="12.75">
      <c r="D4620" s="30"/>
    </row>
    <row r="4621" ht="12.75">
      <c r="D4621" s="30"/>
    </row>
    <row r="4622" ht="12.75">
      <c r="D4622" s="30"/>
    </row>
    <row r="4623" ht="12.75">
      <c r="D4623" s="30"/>
    </row>
    <row r="4624" ht="12.75">
      <c r="D4624" s="30"/>
    </row>
    <row r="4625" ht="12.75">
      <c r="D4625" s="30"/>
    </row>
    <row r="4626" ht="12.75">
      <c r="D4626" s="30"/>
    </row>
    <row r="4627" ht="12.75">
      <c r="D4627" s="30"/>
    </row>
    <row r="4628" ht="12.75">
      <c r="D4628" s="30"/>
    </row>
    <row r="4629" ht="12.75">
      <c r="D4629" s="30"/>
    </row>
    <row r="4630" ht="12.75">
      <c r="D4630" s="30"/>
    </row>
    <row r="4631" ht="12.75">
      <c r="D4631" s="30"/>
    </row>
    <row r="4632" ht="12.75">
      <c r="D4632" s="30"/>
    </row>
    <row r="4633" ht="12.75">
      <c r="D4633" s="30"/>
    </row>
    <row r="4634" ht="12.75">
      <c r="D4634" s="30"/>
    </row>
    <row r="4635" ht="12.75">
      <c r="D4635" s="30"/>
    </row>
    <row r="4636" ht="12.75">
      <c r="D4636" s="30"/>
    </row>
    <row r="4637" ht="12.75">
      <c r="D4637" s="30"/>
    </row>
    <row r="4638" ht="12.75">
      <c r="D4638" s="30"/>
    </row>
    <row r="4639" ht="12.75">
      <c r="D4639" s="30"/>
    </row>
    <row r="4640" ht="12.75">
      <c r="D4640" s="30"/>
    </row>
    <row r="4641" ht="12.75">
      <c r="D4641" s="30"/>
    </row>
    <row r="4642" ht="12.75">
      <c r="D4642" s="30"/>
    </row>
    <row r="4643" ht="12.75">
      <c r="D4643" s="30"/>
    </row>
    <row r="4644" ht="12.75">
      <c r="D4644" s="30"/>
    </row>
    <row r="4645" ht="12.75">
      <c r="D4645" s="30"/>
    </row>
    <row r="4646" ht="12.75">
      <c r="D4646" s="30"/>
    </row>
    <row r="4647" ht="12.75">
      <c r="D4647" s="30"/>
    </row>
    <row r="4648" ht="12.75">
      <c r="D4648" s="30"/>
    </row>
    <row r="4649" ht="12.75">
      <c r="D4649" s="30"/>
    </row>
    <row r="4650" ht="12.75">
      <c r="D4650" s="30"/>
    </row>
    <row r="4651" ht="12.75">
      <c r="D4651" s="30"/>
    </row>
    <row r="4652" ht="12.75">
      <c r="D4652" s="30"/>
    </row>
    <row r="4653" ht="12.75">
      <c r="D4653" s="30"/>
    </row>
    <row r="4654" ht="12.75">
      <c r="D4654" s="30"/>
    </row>
    <row r="4655" ht="12.75">
      <c r="D4655" s="30"/>
    </row>
    <row r="4656" ht="12.75">
      <c r="D4656" s="30"/>
    </row>
    <row r="4657" ht="12.75">
      <c r="D4657" s="30"/>
    </row>
    <row r="4658" ht="12.75">
      <c r="D4658" s="30"/>
    </row>
    <row r="4659" ht="12.75">
      <c r="D4659" s="30"/>
    </row>
    <row r="4660" ht="12.75">
      <c r="D4660" s="30"/>
    </row>
    <row r="4661" ht="12.75">
      <c r="D4661" s="30"/>
    </row>
    <row r="4662" ht="12.75">
      <c r="D4662" s="30"/>
    </row>
    <row r="4663" ht="12.75">
      <c r="D4663" s="30"/>
    </row>
    <row r="4664" ht="12.75">
      <c r="D4664" s="30"/>
    </row>
    <row r="4665" ht="12.75">
      <c r="D4665" s="30"/>
    </row>
    <row r="4666" ht="12.75">
      <c r="D4666" s="30"/>
    </row>
    <row r="4667" ht="12.75">
      <c r="D4667" s="30"/>
    </row>
    <row r="4668" ht="12.75">
      <c r="D4668" s="30"/>
    </row>
    <row r="4669" ht="12.75">
      <c r="D4669" s="30"/>
    </row>
    <row r="4670" ht="12.75">
      <c r="D4670" s="30"/>
    </row>
    <row r="4671" ht="12.75">
      <c r="D4671" s="30"/>
    </row>
    <row r="4672" ht="12.75">
      <c r="D4672" s="30"/>
    </row>
    <row r="4673" ht="12.75">
      <c r="D4673" s="30"/>
    </row>
    <row r="4674" ht="12.75">
      <c r="D4674" s="30"/>
    </row>
    <row r="4675" ht="12.75">
      <c r="D4675" s="30"/>
    </row>
    <row r="4676" ht="12.75">
      <c r="D4676" s="30"/>
    </row>
    <row r="4677" ht="12.75">
      <c r="D4677" s="30"/>
    </row>
    <row r="4678" ht="12.75">
      <c r="D4678" s="30"/>
    </row>
    <row r="4679" ht="12.75">
      <c r="D4679" s="30"/>
    </row>
    <row r="4680" ht="12.75">
      <c r="D4680" s="30"/>
    </row>
    <row r="4681" ht="12.75">
      <c r="D4681" s="30"/>
    </row>
    <row r="4682" ht="12.75">
      <c r="D4682" s="30"/>
    </row>
    <row r="4683" ht="12.75">
      <c r="D4683" s="30"/>
    </row>
    <row r="4684" ht="12.75">
      <c r="D4684" s="30"/>
    </row>
    <row r="4685" ht="12.75">
      <c r="D4685" s="30"/>
    </row>
    <row r="4686" ht="12.75">
      <c r="D4686" s="30"/>
    </row>
    <row r="4687" ht="12.75">
      <c r="D4687" s="30"/>
    </row>
    <row r="4688" ht="12.75">
      <c r="D4688" s="30"/>
    </row>
    <row r="4689" ht="12.75">
      <c r="D4689" s="30"/>
    </row>
    <row r="4690" ht="12.75">
      <c r="D4690" s="30"/>
    </row>
    <row r="4691" ht="12.75">
      <c r="D4691" s="30"/>
    </row>
    <row r="4692" ht="12.75">
      <c r="D4692" s="30"/>
    </row>
    <row r="4693" ht="12.75">
      <c r="D4693" s="30"/>
    </row>
    <row r="4694" ht="12.75">
      <c r="D4694" s="30"/>
    </row>
    <row r="4695" ht="12.75">
      <c r="D4695" s="30"/>
    </row>
    <row r="4696" ht="12.75">
      <c r="D4696" s="30"/>
    </row>
    <row r="4697" ht="12.75">
      <c r="D4697" s="30"/>
    </row>
    <row r="4698" ht="12.75">
      <c r="D4698" s="30"/>
    </row>
    <row r="4699" ht="12.75">
      <c r="D4699" s="30"/>
    </row>
    <row r="4700" ht="12.75">
      <c r="D4700" s="30"/>
    </row>
    <row r="4701" ht="12.75">
      <c r="D4701" s="30"/>
    </row>
    <row r="4702" ht="12.75">
      <c r="D4702" s="30"/>
    </row>
    <row r="4703" ht="12.75">
      <c r="D4703" s="30"/>
    </row>
    <row r="4704" ht="12.75">
      <c r="D4704" s="30"/>
    </row>
    <row r="4705" ht="12.75">
      <c r="D4705" s="30"/>
    </row>
    <row r="4706" ht="12.75">
      <c r="D4706" s="30"/>
    </row>
    <row r="4707" ht="12.75">
      <c r="D4707" s="30"/>
    </row>
    <row r="4708" ht="12.75">
      <c r="D4708" s="30"/>
    </row>
    <row r="4709" ht="12.75">
      <c r="D4709" s="30"/>
    </row>
    <row r="4710" ht="12.75">
      <c r="D4710" s="30"/>
    </row>
    <row r="4711" ht="12.75">
      <c r="D4711" s="30"/>
    </row>
    <row r="4712" ht="12.75">
      <c r="D4712" s="30"/>
    </row>
    <row r="4713" ht="12.75">
      <c r="D4713" s="30"/>
    </row>
    <row r="4714" ht="12.75">
      <c r="D4714" s="30"/>
    </row>
    <row r="4715" ht="12.75">
      <c r="D4715" s="30"/>
    </row>
    <row r="4716" ht="12.75">
      <c r="D4716" s="30"/>
    </row>
    <row r="4717" ht="12.75">
      <c r="D4717" s="30"/>
    </row>
    <row r="4718" ht="12.75">
      <c r="D4718" s="30"/>
    </row>
    <row r="4719" ht="12.75">
      <c r="D4719" s="30"/>
    </row>
    <row r="4720" ht="12.75">
      <c r="D4720" s="30"/>
    </row>
    <row r="4721" ht="12.75">
      <c r="D4721" s="30"/>
    </row>
    <row r="4722" ht="12.75">
      <c r="D4722" s="30"/>
    </row>
    <row r="4723" ht="12.75">
      <c r="D4723" s="30"/>
    </row>
    <row r="4724" ht="12.75">
      <c r="D4724" s="30"/>
    </row>
    <row r="4725" ht="12.75">
      <c r="D4725" s="30"/>
    </row>
    <row r="4726" ht="12.75">
      <c r="D4726" s="30"/>
    </row>
    <row r="4727" ht="12.75">
      <c r="D4727" s="30"/>
    </row>
    <row r="4728" ht="12.75">
      <c r="D4728" s="30"/>
    </row>
    <row r="4729" ht="12.75">
      <c r="D4729" s="30"/>
    </row>
    <row r="4730" ht="12.75">
      <c r="D4730" s="30"/>
    </row>
    <row r="4731" ht="12.75">
      <c r="D4731" s="30"/>
    </row>
    <row r="4732" ht="12.75">
      <c r="D4732" s="30"/>
    </row>
    <row r="4733" ht="12.75">
      <c r="D4733" s="30"/>
    </row>
    <row r="4734" ht="12.75">
      <c r="D4734" s="30"/>
    </row>
    <row r="4735" ht="12.75">
      <c r="D4735" s="30"/>
    </row>
    <row r="4736" ht="12.75">
      <c r="D4736" s="30"/>
    </row>
    <row r="4737" ht="12.75">
      <c r="D4737" s="30"/>
    </row>
    <row r="4738" ht="12.75">
      <c r="D4738" s="30"/>
    </row>
    <row r="4739" ht="12.75">
      <c r="D4739" s="30"/>
    </row>
    <row r="4740" ht="12.75">
      <c r="D4740" s="30"/>
    </row>
    <row r="4741" ht="12.75">
      <c r="D4741" s="30"/>
    </row>
    <row r="4742" ht="12.75">
      <c r="D4742" s="30"/>
    </row>
    <row r="4743" ht="12.75">
      <c r="D4743" s="30"/>
    </row>
    <row r="4744" ht="12.75">
      <c r="D4744" s="30"/>
    </row>
    <row r="4745" ht="12.75">
      <c r="D4745" s="30"/>
    </row>
    <row r="4746" ht="12.75">
      <c r="D4746" s="30"/>
    </row>
    <row r="4747" ht="12.75">
      <c r="D4747" s="30"/>
    </row>
    <row r="4748" ht="12.75">
      <c r="D4748" s="30"/>
    </row>
    <row r="4749" ht="12.75">
      <c r="D4749" s="30"/>
    </row>
    <row r="4750" ht="12.75">
      <c r="D4750" s="30"/>
    </row>
    <row r="4751" ht="12.75">
      <c r="D4751" s="30"/>
    </row>
    <row r="4752" ht="12.75">
      <c r="D4752" s="30"/>
    </row>
    <row r="4753" ht="12.75">
      <c r="D4753" s="30"/>
    </row>
    <row r="4754" ht="12.75">
      <c r="D4754" s="30"/>
    </row>
    <row r="4755" ht="12.75">
      <c r="D4755" s="30"/>
    </row>
    <row r="4756" ht="12.75">
      <c r="D4756" s="30"/>
    </row>
    <row r="4757" ht="12.75">
      <c r="D4757" s="30"/>
    </row>
    <row r="4758" ht="12.75">
      <c r="D4758" s="30"/>
    </row>
    <row r="4759" ht="12.75">
      <c r="D4759" s="30"/>
    </row>
    <row r="4760" ht="12.75">
      <c r="D4760" s="30"/>
    </row>
    <row r="4761" ht="12.75">
      <c r="D4761" s="30"/>
    </row>
    <row r="4762" ht="12.75">
      <c r="D4762" s="30"/>
    </row>
    <row r="4763" ht="12.75">
      <c r="D4763" s="30"/>
    </row>
    <row r="4764" ht="12.75">
      <c r="D4764" s="30"/>
    </row>
    <row r="4765" ht="12.75">
      <c r="D4765" s="30"/>
    </row>
    <row r="4766" ht="12.75">
      <c r="D4766" s="30"/>
    </row>
    <row r="4767" ht="12.75">
      <c r="D4767" s="30"/>
    </row>
    <row r="4768" ht="12.75">
      <c r="D4768" s="30"/>
    </row>
    <row r="4769" ht="12.75">
      <c r="D4769" s="30"/>
    </row>
    <row r="4770" ht="12.75">
      <c r="D4770" s="30"/>
    </row>
    <row r="4771" ht="12.75">
      <c r="D4771" s="30"/>
    </row>
    <row r="4772" ht="12.75">
      <c r="D4772" s="30"/>
    </row>
    <row r="4773" ht="12.75">
      <c r="D4773" s="30"/>
    </row>
    <row r="4774" ht="12.75">
      <c r="D4774" s="30"/>
    </row>
    <row r="4775" ht="12.75">
      <c r="D4775" s="30"/>
    </row>
    <row r="4776" ht="12.75">
      <c r="D4776" s="30"/>
    </row>
    <row r="4777" ht="12.75">
      <c r="D4777" s="30"/>
    </row>
    <row r="4778" ht="12.75">
      <c r="D4778" s="30"/>
    </row>
    <row r="4779" ht="12.75">
      <c r="D4779" s="30"/>
    </row>
    <row r="4780" ht="12.75">
      <c r="D4780" s="30"/>
    </row>
    <row r="4781" ht="12.75">
      <c r="D4781" s="30"/>
    </row>
    <row r="4782" ht="12.75">
      <c r="D4782" s="30"/>
    </row>
    <row r="4783" ht="12.75">
      <c r="D4783" s="30"/>
    </row>
    <row r="4784" ht="12.75">
      <c r="D4784" s="30"/>
    </row>
    <row r="4785" ht="12.75">
      <c r="D4785" s="30"/>
    </row>
    <row r="4786" ht="12.75">
      <c r="D4786" s="30"/>
    </row>
    <row r="4787" ht="12.75">
      <c r="D4787" s="30"/>
    </row>
    <row r="4788" ht="12.75">
      <c r="D4788" s="30"/>
    </row>
    <row r="4789" ht="12.75">
      <c r="D4789" s="30"/>
    </row>
    <row r="4790" ht="12.75">
      <c r="D4790" s="30"/>
    </row>
    <row r="4791" ht="12.75">
      <c r="D4791" s="30"/>
    </row>
    <row r="4792" ht="12.75">
      <c r="D4792" s="30"/>
    </row>
    <row r="4793" ht="12.75">
      <c r="D4793" s="30"/>
    </row>
    <row r="4794" ht="12.75">
      <c r="D4794" s="30"/>
    </row>
    <row r="4795" ht="12.75">
      <c r="D4795" s="30"/>
    </row>
    <row r="4796" ht="12.75">
      <c r="D4796" s="30"/>
    </row>
    <row r="4797" ht="12.75">
      <c r="D4797" s="30"/>
    </row>
    <row r="4798" ht="12.75">
      <c r="D4798" s="30"/>
    </row>
    <row r="4799" ht="12.75">
      <c r="D4799" s="30"/>
    </row>
    <row r="4800" ht="12.75">
      <c r="D4800" s="30"/>
    </row>
    <row r="4801" ht="12.75">
      <c r="D4801" s="30"/>
    </row>
    <row r="4802" ht="12.75">
      <c r="D4802" s="30"/>
    </row>
    <row r="4803" ht="12.75">
      <c r="D4803" s="30"/>
    </row>
    <row r="4804" ht="12.75">
      <c r="D4804" s="30"/>
    </row>
    <row r="4805" ht="12.75">
      <c r="D4805" s="30"/>
    </row>
    <row r="4806" ht="12.75">
      <c r="D4806" s="30"/>
    </row>
    <row r="4807" ht="12.75">
      <c r="D4807" s="30"/>
    </row>
    <row r="4808" ht="12.75">
      <c r="D4808" s="30"/>
    </row>
    <row r="4809" ht="12.75">
      <c r="D4809" s="30"/>
    </row>
    <row r="4810" ht="12.75">
      <c r="D4810" s="30"/>
    </row>
    <row r="4811" ht="12.75">
      <c r="D4811" s="30"/>
    </row>
    <row r="4812" ht="12.75">
      <c r="D4812" s="30"/>
    </row>
    <row r="4813" ht="12.75">
      <c r="D4813" s="30"/>
    </row>
    <row r="4814" ht="12.75">
      <c r="D4814" s="30"/>
    </row>
    <row r="4815" ht="12.75">
      <c r="D4815" s="30"/>
    </row>
    <row r="4816" ht="12.75">
      <c r="D4816" s="30"/>
    </row>
    <row r="4817" ht="12.75">
      <c r="D4817" s="30"/>
    </row>
    <row r="4818" ht="12.75">
      <c r="D4818" s="30"/>
    </row>
    <row r="4819" ht="12.75">
      <c r="D4819" s="30"/>
    </row>
    <row r="4820" ht="12.75">
      <c r="D4820" s="30"/>
    </row>
    <row r="4821" ht="12.75">
      <c r="D4821" s="30"/>
    </row>
    <row r="4822" ht="12.75">
      <c r="D4822" s="30"/>
    </row>
    <row r="4823" ht="12.75">
      <c r="D4823" s="30"/>
    </row>
    <row r="4824" ht="12.75">
      <c r="D4824" s="30"/>
    </row>
    <row r="4825" ht="12.75">
      <c r="D4825" s="30"/>
    </row>
    <row r="4826" ht="12.75">
      <c r="D4826" s="30"/>
    </row>
    <row r="4827" ht="12.75">
      <c r="D4827" s="30"/>
    </row>
    <row r="4828" ht="12.75">
      <c r="D4828" s="30"/>
    </row>
    <row r="4829" ht="12.75">
      <c r="D4829" s="30"/>
    </row>
    <row r="4830" ht="12.75">
      <c r="D4830" s="30"/>
    </row>
    <row r="4831" ht="12.75">
      <c r="D4831" s="30"/>
    </row>
    <row r="4832" ht="12.75">
      <c r="D4832" s="30"/>
    </row>
    <row r="4833" ht="12.75">
      <c r="D4833" s="30"/>
    </row>
    <row r="4834" ht="12.75">
      <c r="D4834" s="30"/>
    </row>
    <row r="4835" ht="12.75">
      <c r="D4835" s="30"/>
    </row>
    <row r="4836" ht="12.75">
      <c r="D4836" s="30"/>
    </row>
    <row r="4837" ht="12.75">
      <c r="D4837" s="30"/>
    </row>
    <row r="4838" ht="12.75">
      <c r="D4838" s="30"/>
    </row>
    <row r="4839" ht="12.75">
      <c r="D4839" s="30"/>
    </row>
    <row r="4840" ht="12.75">
      <c r="D4840" s="30"/>
    </row>
    <row r="4841" ht="12.75">
      <c r="D4841" s="30"/>
    </row>
    <row r="4842" ht="12.75">
      <c r="D4842" s="30"/>
    </row>
    <row r="4843" ht="12.75">
      <c r="D4843" s="30"/>
    </row>
    <row r="4844" ht="12.75">
      <c r="D4844" s="30"/>
    </row>
    <row r="4845" ht="12.75">
      <c r="D4845" s="30"/>
    </row>
    <row r="4846" ht="12.75">
      <c r="D4846" s="30"/>
    </row>
    <row r="4847" ht="12.75">
      <c r="D4847" s="30"/>
    </row>
    <row r="4848" ht="12.75">
      <c r="D4848" s="30"/>
    </row>
    <row r="4849" ht="12.75">
      <c r="D4849" s="30"/>
    </row>
    <row r="4850" ht="12.75">
      <c r="D4850" s="30"/>
    </row>
    <row r="4851" ht="12.75">
      <c r="D4851" s="30"/>
    </row>
    <row r="4852" ht="12.75">
      <c r="D4852" s="30"/>
    </row>
    <row r="4853" ht="12.75">
      <c r="D4853" s="30"/>
    </row>
    <row r="4854" ht="12.75">
      <c r="D4854" s="30"/>
    </row>
    <row r="4855" ht="12.75">
      <c r="D4855" s="30"/>
    </row>
    <row r="4856" ht="12.75">
      <c r="D4856" s="30"/>
    </row>
    <row r="4857" ht="12.75">
      <c r="D4857" s="30"/>
    </row>
    <row r="4858" ht="12.75">
      <c r="D4858" s="30"/>
    </row>
    <row r="4859" ht="12.75">
      <c r="D4859" s="30"/>
    </row>
    <row r="4860" ht="12.75">
      <c r="D4860" s="30"/>
    </row>
    <row r="4861" ht="12.75">
      <c r="D4861" s="30"/>
    </row>
    <row r="4862" ht="12.75">
      <c r="D4862" s="30"/>
    </row>
    <row r="4863" ht="12.75">
      <c r="D4863" s="30"/>
    </row>
    <row r="4864" ht="12.75">
      <c r="D4864" s="30"/>
    </row>
    <row r="4865" ht="12.75">
      <c r="D4865" s="30"/>
    </row>
    <row r="4866" ht="12.75">
      <c r="D4866" s="30"/>
    </row>
    <row r="4867" ht="12.75">
      <c r="D4867" s="30"/>
    </row>
    <row r="4868" ht="12.75">
      <c r="D4868" s="30"/>
    </row>
    <row r="4869" ht="12.75">
      <c r="D4869" s="30"/>
    </row>
    <row r="4870" ht="12.75">
      <c r="D4870" s="30"/>
    </row>
    <row r="4871" ht="12.75">
      <c r="D4871" s="30"/>
    </row>
    <row r="4872" ht="12.75">
      <c r="D4872" s="30"/>
    </row>
    <row r="4873" ht="12.75">
      <c r="D4873" s="30"/>
    </row>
    <row r="4874" ht="12.75">
      <c r="D4874" s="30"/>
    </row>
    <row r="4875" ht="12.75">
      <c r="D4875" s="30"/>
    </row>
    <row r="4876" ht="12.75">
      <c r="D4876" s="30"/>
    </row>
    <row r="4877" ht="12.75">
      <c r="D4877" s="30"/>
    </row>
    <row r="4878" ht="12.75">
      <c r="D4878" s="30"/>
    </row>
    <row r="4879" ht="12.75">
      <c r="D4879" s="30"/>
    </row>
    <row r="4880" ht="12.75">
      <c r="D4880" s="30"/>
    </row>
    <row r="4881" ht="12.75">
      <c r="D4881" s="30"/>
    </row>
    <row r="4882" ht="12.75">
      <c r="D4882" s="30"/>
    </row>
    <row r="4883" ht="12.75">
      <c r="D4883" s="30"/>
    </row>
    <row r="4884" ht="12.75">
      <c r="D4884" s="30"/>
    </row>
    <row r="4885" ht="12.75">
      <c r="D4885" s="30"/>
    </row>
    <row r="4886" ht="12.75">
      <c r="D4886" s="30"/>
    </row>
    <row r="4887" ht="12.75">
      <c r="D4887" s="30"/>
    </row>
    <row r="4888" ht="12.75">
      <c r="D4888" s="30"/>
    </row>
    <row r="4889" ht="12.75">
      <c r="D4889" s="30"/>
    </row>
    <row r="4890" ht="12.75">
      <c r="D4890" s="30"/>
    </row>
    <row r="4891" ht="12.75">
      <c r="D4891" s="30"/>
    </row>
    <row r="4892" ht="12.75">
      <c r="D4892" s="30"/>
    </row>
    <row r="4893" ht="12.75">
      <c r="D4893" s="30"/>
    </row>
    <row r="4894" ht="12.75">
      <c r="D4894" s="30"/>
    </row>
    <row r="4895" ht="12.75">
      <c r="D4895" s="30"/>
    </row>
    <row r="4896" ht="12.75">
      <c r="D4896" s="30"/>
    </row>
    <row r="4897" ht="12.75">
      <c r="D4897" s="30"/>
    </row>
    <row r="4898" ht="12.75">
      <c r="D4898" s="30"/>
    </row>
    <row r="4899" ht="12.75">
      <c r="D4899" s="30"/>
    </row>
    <row r="4900" ht="12.75">
      <c r="D4900" s="30"/>
    </row>
    <row r="4901" ht="12.75">
      <c r="D4901" s="30"/>
    </row>
    <row r="4902" ht="12.75">
      <c r="D4902" s="30"/>
    </row>
    <row r="4903" ht="12.75">
      <c r="D4903" s="30"/>
    </row>
    <row r="4904" ht="12.75">
      <c r="D4904" s="30"/>
    </row>
    <row r="4905" ht="12.75">
      <c r="D4905" s="30"/>
    </row>
    <row r="4906" ht="12.75">
      <c r="D4906" s="30"/>
    </row>
    <row r="4907" ht="12.75">
      <c r="D4907" s="30"/>
    </row>
    <row r="4908" ht="12.75">
      <c r="D4908" s="30"/>
    </row>
    <row r="4909" ht="12.75">
      <c r="D4909" s="30"/>
    </row>
    <row r="4910" ht="12.75">
      <c r="D4910" s="30"/>
    </row>
    <row r="4911" ht="12.75">
      <c r="D4911" s="30"/>
    </row>
    <row r="4912" ht="12.75">
      <c r="D4912" s="30"/>
    </row>
    <row r="4913" ht="12.75">
      <c r="D4913" s="30"/>
    </row>
    <row r="4914" ht="12.75">
      <c r="D4914" s="30"/>
    </row>
    <row r="4915" ht="12.75">
      <c r="D4915" s="30"/>
    </row>
    <row r="4916" ht="12.75">
      <c r="D4916" s="30"/>
    </row>
    <row r="4917" ht="12.75">
      <c r="D4917" s="30"/>
    </row>
    <row r="4918" ht="12.75">
      <c r="D4918" s="30"/>
    </row>
    <row r="4919" ht="12.75">
      <c r="D4919" s="30"/>
    </row>
    <row r="4920" ht="12.75">
      <c r="D4920" s="30"/>
    </row>
    <row r="4921" ht="12.75">
      <c r="D4921" s="30"/>
    </row>
    <row r="4922" ht="12.75">
      <c r="D4922" s="30"/>
    </row>
    <row r="4923" ht="12.75">
      <c r="D4923" s="30"/>
    </row>
    <row r="4924" ht="12.75">
      <c r="D4924" s="30"/>
    </row>
    <row r="4925" ht="12.75">
      <c r="D4925" s="30"/>
    </row>
    <row r="4926" ht="12.75">
      <c r="D4926" s="30"/>
    </row>
    <row r="4927" ht="12.75">
      <c r="D4927" s="30"/>
    </row>
    <row r="4928" ht="12.75">
      <c r="D4928" s="30"/>
    </row>
    <row r="4929" ht="12.75">
      <c r="D4929" s="30"/>
    </row>
    <row r="4930" ht="12.75">
      <c r="D4930" s="30"/>
    </row>
    <row r="4931" ht="12.75">
      <c r="D4931" s="30"/>
    </row>
    <row r="4932" ht="12.75">
      <c r="D4932" s="30"/>
    </row>
    <row r="4933" ht="12.75">
      <c r="D4933" s="30"/>
    </row>
    <row r="4934" ht="12.75">
      <c r="D4934" s="30"/>
    </row>
    <row r="4935" ht="12.75">
      <c r="D4935" s="30"/>
    </row>
    <row r="4936" ht="12.75">
      <c r="D4936" s="30"/>
    </row>
    <row r="4937" ht="12.75">
      <c r="D4937" s="30"/>
    </row>
    <row r="4938" ht="12.75">
      <c r="D4938" s="30"/>
    </row>
    <row r="4939" ht="12.75">
      <c r="D4939" s="30"/>
    </row>
    <row r="4940" ht="12.75">
      <c r="D4940" s="30"/>
    </row>
    <row r="4941" ht="12.75">
      <c r="D4941" s="30"/>
    </row>
    <row r="4942" ht="12.75">
      <c r="D4942" s="30"/>
    </row>
    <row r="4943" ht="12.75">
      <c r="D4943" s="30"/>
    </row>
    <row r="4944" ht="12.75">
      <c r="D4944" s="30"/>
    </row>
    <row r="4945" ht="12.75">
      <c r="D4945" s="30"/>
    </row>
    <row r="4946" ht="12.75">
      <c r="D4946" s="30"/>
    </row>
    <row r="4947" ht="12.75">
      <c r="D4947" s="30"/>
    </row>
    <row r="4948" ht="12.75">
      <c r="D4948" s="30"/>
    </row>
    <row r="4949" ht="12.75">
      <c r="D4949" s="30"/>
    </row>
    <row r="4950" ht="12.75">
      <c r="D4950" s="30"/>
    </row>
    <row r="4951" ht="12.75">
      <c r="D4951" s="30"/>
    </row>
    <row r="4952" ht="12.75">
      <c r="D4952" s="30"/>
    </row>
    <row r="4953" ht="12.75">
      <c r="D4953" s="30"/>
    </row>
    <row r="4954" ht="12.75">
      <c r="D4954" s="30"/>
    </row>
    <row r="4955" ht="12.75">
      <c r="D4955" s="30"/>
    </row>
    <row r="4956" ht="12.75">
      <c r="D4956" s="30"/>
    </row>
    <row r="4957" ht="12.75">
      <c r="D4957" s="30"/>
    </row>
    <row r="4958" ht="12.75">
      <c r="D4958" s="30"/>
    </row>
    <row r="4959" ht="12.75">
      <c r="D4959" s="30"/>
    </row>
    <row r="4960" ht="12.75">
      <c r="D4960" s="30"/>
    </row>
    <row r="4961" ht="12.75">
      <c r="D4961" s="30"/>
    </row>
    <row r="4962" ht="12.75">
      <c r="D4962" s="30"/>
    </row>
    <row r="4963" ht="12.75">
      <c r="D4963" s="30"/>
    </row>
    <row r="4964" ht="12.75">
      <c r="D4964" s="30"/>
    </row>
    <row r="4965" ht="12.75">
      <c r="D4965" s="30"/>
    </row>
    <row r="4966" ht="12.75">
      <c r="D4966" s="30"/>
    </row>
    <row r="4967" ht="12.75">
      <c r="D4967" s="30"/>
    </row>
    <row r="4968" ht="12.75">
      <c r="D4968" s="30"/>
    </row>
    <row r="4969" ht="12.75">
      <c r="D4969" s="30"/>
    </row>
    <row r="4970" ht="12.75">
      <c r="D4970" s="30"/>
    </row>
    <row r="4971" ht="12.75">
      <c r="D4971" s="30"/>
    </row>
    <row r="4972" ht="12.75">
      <c r="D4972" s="30"/>
    </row>
    <row r="4973" ht="12.75">
      <c r="D4973" s="30"/>
    </row>
    <row r="4974" ht="12.75">
      <c r="D4974" s="30"/>
    </row>
    <row r="4975" ht="12.75">
      <c r="D4975" s="30"/>
    </row>
    <row r="4976" ht="12.75">
      <c r="D4976" s="30"/>
    </row>
    <row r="4977" ht="12.75">
      <c r="D4977" s="30"/>
    </row>
    <row r="4978" ht="12.75">
      <c r="D4978" s="30"/>
    </row>
  </sheetData>
  <sheetProtection password="CC4E" sheet="1" selectLockedCells="1"/>
  <protectedRanges>
    <protectedRange sqref="B34 F9 F11 F13 F15 F19" name="Oblast1"/>
  </protectedRanges>
  <mergeCells count="16">
    <mergeCell ref="C18:G18"/>
    <mergeCell ref="C10:G10"/>
    <mergeCell ref="C12:G12"/>
    <mergeCell ref="C14:G14"/>
    <mergeCell ref="C25:G25"/>
    <mergeCell ref="C20:G20"/>
    <mergeCell ref="C21:G21"/>
    <mergeCell ref="C22:G22"/>
    <mergeCell ref="C23:G23"/>
    <mergeCell ref="C24:G24"/>
    <mergeCell ref="A1:G1"/>
    <mergeCell ref="C2:G2"/>
    <mergeCell ref="C3:G3"/>
    <mergeCell ref="C4:G4"/>
    <mergeCell ref="C16:G16"/>
    <mergeCell ref="C17:G17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1"/>
  <sheetViews>
    <sheetView zoomScalePageLayoutView="0" workbookViewId="0" topLeftCell="A1">
      <selection activeCell="F230" sqref="F230"/>
    </sheetView>
  </sheetViews>
  <sheetFormatPr defaultColWidth="11.57421875" defaultRowHeight="12.75"/>
  <cols>
    <col min="1" max="1" width="3.7109375" style="0" customWidth="1"/>
    <col min="2" max="2" width="13.28125" style="0" customWidth="1"/>
    <col min="3" max="3" width="100.8515625" style="0" customWidth="1"/>
    <col min="4" max="4" width="7.7109375" style="0" customWidth="1"/>
    <col min="5" max="5" width="11.140625" style="0" customWidth="1"/>
    <col min="6" max="6" width="10.140625" style="0" customWidth="1"/>
    <col min="7" max="7" width="14.28125" style="21" customWidth="1"/>
    <col min="8" max="9" width="11.7109375" style="0" customWidth="1"/>
    <col min="10" max="10" width="12.140625" style="0" customWidth="1"/>
    <col min="11" max="42" width="12.140625" style="0" hidden="1" customWidth="1"/>
    <col min="43" max="43" width="0" style="0" hidden="1" customWidth="1"/>
  </cols>
  <sheetData>
    <row r="1" spans="1:19" ht="15.75" customHeight="1" thickBot="1">
      <c r="A1" s="468" t="s">
        <v>964</v>
      </c>
      <c r="B1" s="468"/>
      <c r="C1" s="468"/>
      <c r="D1" s="468"/>
      <c r="E1" s="468"/>
      <c r="F1" s="468"/>
      <c r="G1" s="468"/>
      <c r="H1" s="134"/>
      <c r="I1" s="134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43" ht="24.75" customHeight="1">
      <c r="A2" s="135" t="s">
        <v>918</v>
      </c>
      <c r="B2" s="139" t="s">
        <v>923</v>
      </c>
      <c r="C2" s="493" t="s">
        <v>991</v>
      </c>
      <c r="D2" s="494"/>
      <c r="E2" s="494"/>
      <c r="F2" s="494"/>
      <c r="G2" s="494"/>
      <c r="H2" s="494"/>
      <c r="I2" s="494"/>
      <c r="J2" s="15"/>
      <c r="K2" s="15"/>
      <c r="L2" s="15"/>
      <c r="M2" s="15"/>
      <c r="N2" s="15"/>
      <c r="O2" s="15"/>
      <c r="P2" s="15"/>
      <c r="Q2" s="15"/>
      <c r="R2" s="15"/>
      <c r="S2" s="15"/>
      <c r="AQ2" s="16"/>
    </row>
    <row r="3" spans="1:43" ht="24.75" customHeight="1">
      <c r="A3" s="136" t="s">
        <v>919</v>
      </c>
      <c r="B3" s="138" t="s">
        <v>615</v>
      </c>
      <c r="C3" s="491" t="s">
        <v>955</v>
      </c>
      <c r="D3" s="492"/>
      <c r="E3" s="492"/>
      <c r="F3" s="492"/>
      <c r="G3" s="492"/>
      <c r="H3" s="492"/>
      <c r="I3" s="492"/>
      <c r="J3" s="15"/>
      <c r="K3" s="15"/>
      <c r="L3" s="15"/>
      <c r="M3" s="15"/>
      <c r="N3" s="15"/>
      <c r="O3" s="15"/>
      <c r="P3" s="15"/>
      <c r="Q3" s="15"/>
      <c r="R3" s="15"/>
      <c r="S3" s="15"/>
      <c r="AQ3" s="16"/>
    </row>
    <row r="4" spans="1:43" ht="24.75" customHeight="1" thickBot="1">
      <c r="A4" s="137" t="s">
        <v>922</v>
      </c>
      <c r="B4" s="140" t="s">
        <v>923</v>
      </c>
      <c r="C4" s="490" t="s">
        <v>756</v>
      </c>
      <c r="D4" s="490"/>
      <c r="E4" s="490"/>
      <c r="F4" s="490"/>
      <c r="G4" s="490"/>
      <c r="H4" s="490"/>
      <c r="I4" s="490"/>
      <c r="J4" s="15"/>
      <c r="K4" s="15"/>
      <c r="L4" s="15"/>
      <c r="M4" s="15"/>
      <c r="N4" s="15"/>
      <c r="O4" s="15"/>
      <c r="P4" s="15"/>
      <c r="Q4" s="15"/>
      <c r="R4" s="15"/>
      <c r="S4" s="15"/>
      <c r="AQ4" s="16"/>
    </row>
    <row r="5" spans="1:43" ht="13.5" thickBot="1">
      <c r="A5" s="109"/>
      <c r="B5" s="110"/>
      <c r="C5" s="110"/>
      <c r="D5" s="110"/>
      <c r="E5" s="110"/>
      <c r="F5" s="110"/>
      <c r="G5" s="132"/>
      <c r="H5" s="110"/>
      <c r="I5" s="110"/>
      <c r="J5" s="15"/>
      <c r="K5" s="15"/>
      <c r="L5" s="15"/>
      <c r="M5" s="15"/>
      <c r="N5" s="15"/>
      <c r="O5" s="15"/>
      <c r="P5" s="15"/>
      <c r="Q5" s="15"/>
      <c r="R5" s="15"/>
      <c r="S5" s="15"/>
      <c r="AQ5" s="16"/>
    </row>
    <row r="6" spans="1:19" ht="12.75">
      <c r="A6" s="497" t="s">
        <v>812</v>
      </c>
      <c r="B6" s="57" t="s">
        <v>193</v>
      </c>
      <c r="C6" s="57" t="s">
        <v>337</v>
      </c>
      <c r="D6" s="57" t="s">
        <v>538</v>
      </c>
      <c r="E6" s="58" t="s">
        <v>545</v>
      </c>
      <c r="F6" s="59" t="s">
        <v>546</v>
      </c>
      <c r="G6" s="488" t="s">
        <v>614</v>
      </c>
      <c r="H6" s="495" t="s">
        <v>553</v>
      </c>
      <c r="I6" s="496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3.5" thickBot="1">
      <c r="A7" s="498"/>
      <c r="B7" s="60" t="s">
        <v>0</v>
      </c>
      <c r="C7" s="61" t="s">
        <v>338</v>
      </c>
      <c r="D7" s="60" t="s">
        <v>0</v>
      </c>
      <c r="E7" s="60" t="s">
        <v>0</v>
      </c>
      <c r="F7" s="62" t="s">
        <v>547</v>
      </c>
      <c r="G7" s="489"/>
      <c r="H7" s="63" t="s">
        <v>546</v>
      </c>
      <c r="I7" s="64" t="s">
        <v>552</v>
      </c>
      <c r="J7" s="15"/>
      <c r="K7" s="9" t="s">
        <v>554</v>
      </c>
      <c r="L7" s="9" t="s">
        <v>555</v>
      </c>
      <c r="M7" s="9" t="s">
        <v>559</v>
      </c>
      <c r="N7" s="9" t="s">
        <v>560</v>
      </c>
      <c r="O7" s="9" t="s">
        <v>561</v>
      </c>
      <c r="P7" s="9" t="s">
        <v>562</v>
      </c>
      <c r="Q7" s="9" t="s">
        <v>563</v>
      </c>
      <c r="R7" s="9" t="s">
        <v>564</v>
      </c>
      <c r="S7" s="9" t="s">
        <v>565</v>
      </c>
    </row>
    <row r="8" spans="1:32" ht="12.75">
      <c r="A8" s="66"/>
      <c r="B8" s="4" t="s">
        <v>13</v>
      </c>
      <c r="C8" s="486" t="s">
        <v>339</v>
      </c>
      <c r="D8" s="487"/>
      <c r="E8" s="487"/>
      <c r="F8" s="487"/>
      <c r="G8" s="17">
        <f>SUM(G9:G25)</f>
        <v>0</v>
      </c>
      <c r="H8" s="8"/>
      <c r="I8" s="12">
        <f>SUM(I9:I25)</f>
        <v>18.8982904</v>
      </c>
      <c r="J8" s="15"/>
      <c r="K8" s="13">
        <f>IF(L8="PR",#REF!,SUM(J9:J24))</f>
        <v>0</v>
      </c>
      <c r="L8" s="9" t="s">
        <v>556</v>
      </c>
      <c r="M8" s="13" t="e">
        <f>IF(L8="HS",#REF!,0)</f>
        <v>#REF!</v>
      </c>
      <c r="N8" s="13">
        <f>IF(L8="HS",G8-K8,0)</f>
        <v>0</v>
      </c>
      <c r="O8" s="13">
        <f>IF(L8="PS",#REF!,0)</f>
        <v>0</v>
      </c>
      <c r="P8" s="13">
        <f>IF(L8="PS",G8-K8,0)</f>
        <v>0</v>
      </c>
      <c r="Q8" s="13">
        <f>IF(L8="MP",#REF!,0)</f>
        <v>0</v>
      </c>
      <c r="R8" s="13">
        <f>IF(L8="MP",G8-K8,0)</f>
        <v>0</v>
      </c>
      <c r="S8" s="13">
        <f>IF(L8="OM",#REF!,0)</f>
        <v>0</v>
      </c>
      <c r="T8" s="9"/>
      <c r="AD8" s="13">
        <f>SUM(U9:U24)</f>
        <v>0</v>
      </c>
      <c r="AE8" s="13">
        <f>SUM(V9:V24)</f>
        <v>0</v>
      </c>
      <c r="AF8" s="13" t="e">
        <f>SUM(W9:W24)</f>
        <v>#REF!</v>
      </c>
    </row>
    <row r="9" spans="1:38" ht="12.75">
      <c r="A9" s="67" t="s">
        <v>1</v>
      </c>
      <c r="B9" s="1" t="s">
        <v>194</v>
      </c>
      <c r="C9" s="1" t="s">
        <v>340</v>
      </c>
      <c r="D9" s="1" t="s">
        <v>539</v>
      </c>
      <c r="E9" s="6">
        <v>7.53</v>
      </c>
      <c r="F9" s="22">
        <v>0</v>
      </c>
      <c r="G9" s="18">
        <f>E9*F9</f>
        <v>0</v>
      </c>
      <c r="H9" s="6">
        <v>0</v>
      </c>
      <c r="I9" s="6">
        <f aca="true" t="shared" si="0" ref="I9:I25">E9*H9</f>
        <v>0</v>
      </c>
      <c r="J9" s="6"/>
      <c r="K9" s="15"/>
      <c r="L9" s="15"/>
      <c r="M9" s="15"/>
      <c r="N9" s="15"/>
      <c r="O9" s="15"/>
      <c r="P9" s="15"/>
      <c r="Q9" s="15"/>
      <c r="R9" s="15"/>
      <c r="S9" s="15"/>
      <c r="U9" s="6">
        <f>IF(Y9=0,#REF!,0)</f>
        <v>0</v>
      </c>
      <c r="V9" s="6">
        <f>IF(Y9=15,#REF!,0)</f>
        <v>0</v>
      </c>
      <c r="W9" s="6" t="e">
        <f>IF(Y9=21,#REF!,0)</f>
        <v>#REF!</v>
      </c>
      <c r="Y9" s="10">
        <v>21</v>
      </c>
      <c r="Z9" s="10">
        <f>F9*0</f>
        <v>0</v>
      </c>
      <c r="AA9" s="10">
        <f>F9*(1-0)</f>
        <v>0</v>
      </c>
      <c r="AH9" s="10">
        <f aca="true" t="shared" si="1" ref="AH9:AH24">E9*Z9</f>
        <v>0</v>
      </c>
      <c r="AI9" s="10">
        <f aca="true" t="shared" si="2" ref="AI9:AI24">E9*AA9</f>
        <v>0</v>
      </c>
      <c r="AJ9" s="11" t="s">
        <v>566</v>
      </c>
      <c r="AK9" s="11" t="s">
        <v>600</v>
      </c>
      <c r="AL9" s="9" t="s">
        <v>612</v>
      </c>
    </row>
    <row r="10" spans="1:38" ht="12.75">
      <c r="A10" s="67" t="s">
        <v>2</v>
      </c>
      <c r="B10" s="1" t="s">
        <v>195</v>
      </c>
      <c r="C10" s="1" t="s">
        <v>341</v>
      </c>
      <c r="D10" s="1" t="s">
        <v>539</v>
      </c>
      <c r="E10" s="6">
        <v>7.53</v>
      </c>
      <c r="F10" s="22">
        <v>0</v>
      </c>
      <c r="G10" s="18">
        <f aca="true" t="shared" si="3" ref="G10:G25">E10*F10</f>
        <v>0</v>
      </c>
      <c r="H10" s="6">
        <v>0</v>
      </c>
      <c r="I10" s="6">
        <f t="shared" si="0"/>
        <v>0</v>
      </c>
      <c r="J10" s="6"/>
      <c r="K10" s="15"/>
      <c r="L10" s="15"/>
      <c r="M10" s="15"/>
      <c r="N10" s="15"/>
      <c r="O10" s="15"/>
      <c r="P10" s="15"/>
      <c r="Q10" s="15"/>
      <c r="R10" s="15"/>
      <c r="S10" s="15"/>
      <c r="U10" s="6">
        <f>IF(Y10=0,#REF!,0)</f>
        <v>0</v>
      </c>
      <c r="V10" s="6">
        <f>IF(Y10=15,#REF!,0)</f>
        <v>0</v>
      </c>
      <c r="W10" s="6" t="e">
        <f>IF(Y10=21,#REF!,0)</f>
        <v>#REF!</v>
      </c>
      <c r="Y10" s="10">
        <v>21</v>
      </c>
      <c r="Z10" s="10">
        <f>F10*0</f>
        <v>0</v>
      </c>
      <c r="AA10" s="10">
        <f>F10*(1-0)</f>
        <v>0</v>
      </c>
      <c r="AH10" s="10">
        <f t="shared" si="1"/>
        <v>0</v>
      </c>
      <c r="AI10" s="10">
        <f t="shared" si="2"/>
        <v>0</v>
      </c>
      <c r="AJ10" s="11" t="s">
        <v>566</v>
      </c>
      <c r="AK10" s="11" t="s">
        <v>600</v>
      </c>
      <c r="AL10" s="9" t="s">
        <v>612</v>
      </c>
    </row>
    <row r="11" spans="1:38" ht="12.75">
      <c r="A11" s="67" t="s">
        <v>3</v>
      </c>
      <c r="B11" s="1" t="s">
        <v>196</v>
      </c>
      <c r="C11" s="1" t="s">
        <v>342</v>
      </c>
      <c r="D11" s="1" t="s">
        <v>539</v>
      </c>
      <c r="E11" s="6">
        <v>3.03</v>
      </c>
      <c r="F11" s="22">
        <v>0</v>
      </c>
      <c r="G11" s="18">
        <f t="shared" si="3"/>
        <v>0</v>
      </c>
      <c r="H11" s="6">
        <v>1.7</v>
      </c>
      <c r="I11" s="6">
        <f t="shared" si="0"/>
        <v>5.151</v>
      </c>
      <c r="J11" s="6"/>
      <c r="K11" s="15"/>
      <c r="L11" s="15"/>
      <c r="M11" s="15"/>
      <c r="N11" s="15"/>
      <c r="O11" s="15"/>
      <c r="P11" s="15"/>
      <c r="Q11" s="15"/>
      <c r="R11" s="15"/>
      <c r="S11" s="15"/>
      <c r="U11" s="6">
        <f>IF(Y11=0,#REF!,0)</f>
        <v>0</v>
      </c>
      <c r="V11" s="6">
        <f>IF(Y11=15,#REF!,0)</f>
        <v>0</v>
      </c>
      <c r="W11" s="6" t="e">
        <f>IF(Y11=21,#REF!,0)</f>
        <v>#REF!</v>
      </c>
      <c r="Y11" s="10">
        <v>21</v>
      </c>
      <c r="Z11" s="10">
        <f>F11*0.585577045352077</f>
        <v>0</v>
      </c>
      <c r="AA11" s="10">
        <f>F11*(1-0.585577045352077)</f>
        <v>0</v>
      </c>
      <c r="AH11" s="10">
        <f t="shared" si="1"/>
        <v>0</v>
      </c>
      <c r="AI11" s="10">
        <f t="shared" si="2"/>
        <v>0</v>
      </c>
      <c r="AJ11" s="11" t="s">
        <v>566</v>
      </c>
      <c r="AK11" s="11" t="s">
        <v>600</v>
      </c>
      <c r="AL11" s="9" t="s">
        <v>612</v>
      </c>
    </row>
    <row r="12" spans="1:38" ht="12.75">
      <c r="A12" s="67" t="s">
        <v>4</v>
      </c>
      <c r="B12" s="1" t="s">
        <v>194</v>
      </c>
      <c r="C12" s="1" t="s">
        <v>343</v>
      </c>
      <c r="D12" s="1" t="s">
        <v>539</v>
      </c>
      <c r="E12" s="6">
        <v>32.93</v>
      </c>
      <c r="F12" s="22">
        <v>0</v>
      </c>
      <c r="G12" s="18">
        <f t="shared" si="3"/>
        <v>0</v>
      </c>
      <c r="H12" s="6">
        <v>0</v>
      </c>
      <c r="I12" s="6">
        <f t="shared" si="0"/>
        <v>0</v>
      </c>
      <c r="J12" s="6"/>
      <c r="K12" s="15"/>
      <c r="L12" s="15"/>
      <c r="M12" s="15"/>
      <c r="N12" s="15"/>
      <c r="O12" s="15"/>
      <c r="P12" s="15"/>
      <c r="Q12" s="15"/>
      <c r="R12" s="15"/>
      <c r="S12" s="15"/>
      <c r="U12" s="6">
        <f>IF(Y12=0,#REF!,0)</f>
        <v>0</v>
      </c>
      <c r="V12" s="6">
        <f>IF(Y12=15,#REF!,0)</f>
        <v>0</v>
      </c>
      <c r="W12" s="6" t="e">
        <f>IF(Y12=21,#REF!,0)</f>
        <v>#REF!</v>
      </c>
      <c r="Y12" s="10">
        <v>21</v>
      </c>
      <c r="Z12" s="10">
        <f>F12*0</f>
        <v>0</v>
      </c>
      <c r="AA12" s="10">
        <f>F12*(1-0)</f>
        <v>0</v>
      </c>
      <c r="AH12" s="10">
        <f t="shared" si="1"/>
        <v>0</v>
      </c>
      <c r="AI12" s="10">
        <f t="shared" si="2"/>
        <v>0</v>
      </c>
      <c r="AJ12" s="11" t="s">
        <v>566</v>
      </c>
      <c r="AK12" s="11" t="s">
        <v>600</v>
      </c>
      <c r="AL12" s="9" t="s">
        <v>612</v>
      </c>
    </row>
    <row r="13" spans="1:38" ht="12.75">
      <c r="A13" s="67" t="s">
        <v>5</v>
      </c>
      <c r="B13" s="1" t="s">
        <v>197</v>
      </c>
      <c r="C13" s="1" t="s">
        <v>344</v>
      </c>
      <c r="D13" s="1" t="s">
        <v>539</v>
      </c>
      <c r="E13" s="6">
        <v>32.93</v>
      </c>
      <c r="F13" s="22">
        <v>0</v>
      </c>
      <c r="G13" s="18">
        <f t="shared" si="3"/>
        <v>0</v>
      </c>
      <c r="H13" s="6">
        <v>0</v>
      </c>
      <c r="I13" s="6">
        <f t="shared" si="0"/>
        <v>0</v>
      </c>
      <c r="J13" s="6"/>
      <c r="K13" s="15"/>
      <c r="L13" s="15"/>
      <c r="M13" s="15"/>
      <c r="N13" s="15"/>
      <c r="O13" s="15"/>
      <c r="P13" s="15"/>
      <c r="Q13" s="15"/>
      <c r="R13" s="15"/>
      <c r="S13" s="15"/>
      <c r="U13" s="6">
        <f>IF(Y13=0,#REF!,0)</f>
        <v>0</v>
      </c>
      <c r="V13" s="6">
        <f>IF(Y13=15,#REF!,0)</f>
        <v>0</v>
      </c>
      <c r="W13" s="6" t="e">
        <f>IF(Y13=21,#REF!,0)</f>
        <v>#REF!</v>
      </c>
      <c r="Y13" s="10">
        <v>21</v>
      </c>
      <c r="Z13" s="10">
        <f>F13*0</f>
        <v>0</v>
      </c>
      <c r="AA13" s="10">
        <f>F13*(1-0)</f>
        <v>0</v>
      </c>
      <c r="AH13" s="10">
        <f t="shared" si="1"/>
        <v>0</v>
      </c>
      <c r="AI13" s="10">
        <f t="shared" si="2"/>
        <v>0</v>
      </c>
      <c r="AJ13" s="11" t="s">
        <v>566</v>
      </c>
      <c r="AK13" s="11" t="s">
        <v>600</v>
      </c>
      <c r="AL13" s="9" t="s">
        <v>612</v>
      </c>
    </row>
    <row r="14" spans="1:38" ht="12.75">
      <c r="A14" s="67" t="s">
        <v>6</v>
      </c>
      <c r="B14" s="1" t="s">
        <v>198</v>
      </c>
      <c r="C14" s="1" t="s">
        <v>345</v>
      </c>
      <c r="D14" s="1" t="s">
        <v>540</v>
      </c>
      <c r="E14" s="6">
        <v>149.68</v>
      </c>
      <c r="F14" s="22">
        <v>0</v>
      </c>
      <c r="G14" s="18">
        <f t="shared" si="3"/>
        <v>0</v>
      </c>
      <c r="H14" s="6">
        <v>0</v>
      </c>
      <c r="I14" s="6">
        <f t="shared" si="0"/>
        <v>0</v>
      </c>
      <c r="J14" s="6"/>
      <c r="K14" s="15"/>
      <c r="L14" s="15"/>
      <c r="M14" s="15"/>
      <c r="N14" s="15"/>
      <c r="O14" s="15"/>
      <c r="P14" s="15"/>
      <c r="Q14" s="15"/>
      <c r="R14" s="15"/>
      <c r="S14" s="15"/>
      <c r="U14" s="6">
        <f>IF(Y14=0,#REF!,0)</f>
        <v>0</v>
      </c>
      <c r="V14" s="6">
        <f>IF(Y14=15,#REF!,0)</f>
        <v>0</v>
      </c>
      <c r="W14" s="6" t="e">
        <f>IF(Y14=21,#REF!,0)</f>
        <v>#REF!</v>
      </c>
      <c r="Y14" s="10">
        <v>21</v>
      </c>
      <c r="Z14" s="10">
        <f>F14*0</f>
        <v>0</v>
      </c>
      <c r="AA14" s="10">
        <f>F14*(1-0)</f>
        <v>0</v>
      </c>
      <c r="AH14" s="10">
        <f t="shared" si="1"/>
        <v>0</v>
      </c>
      <c r="AI14" s="10">
        <f t="shared" si="2"/>
        <v>0</v>
      </c>
      <c r="AJ14" s="11" t="s">
        <v>566</v>
      </c>
      <c r="AK14" s="11" t="s">
        <v>600</v>
      </c>
      <c r="AL14" s="9" t="s">
        <v>612</v>
      </c>
    </row>
    <row r="15" spans="1:38" ht="12.75">
      <c r="A15" s="67" t="s">
        <v>7</v>
      </c>
      <c r="B15" s="1" t="s">
        <v>194</v>
      </c>
      <c r="C15" s="1" t="s">
        <v>346</v>
      </c>
      <c r="D15" s="1" t="s">
        <v>539</v>
      </c>
      <c r="E15" s="6">
        <v>12.29</v>
      </c>
      <c r="F15" s="22">
        <v>0</v>
      </c>
      <c r="G15" s="18">
        <f t="shared" si="3"/>
        <v>0</v>
      </c>
      <c r="H15" s="6">
        <v>0</v>
      </c>
      <c r="I15" s="6">
        <f t="shared" si="0"/>
        <v>0</v>
      </c>
      <c r="J15" s="6"/>
      <c r="K15" s="15"/>
      <c r="L15" s="15"/>
      <c r="M15" s="15"/>
      <c r="N15" s="15"/>
      <c r="O15" s="15"/>
      <c r="P15" s="15"/>
      <c r="Q15" s="15"/>
      <c r="R15" s="15"/>
      <c r="S15" s="15"/>
      <c r="U15" s="6">
        <f>IF(Y15=0,#REF!,0)</f>
        <v>0</v>
      </c>
      <c r="V15" s="6">
        <f>IF(Y15=15,#REF!,0)</f>
        <v>0</v>
      </c>
      <c r="W15" s="6" t="e">
        <f>IF(Y15=21,#REF!,0)</f>
        <v>#REF!</v>
      </c>
      <c r="Y15" s="10">
        <v>21</v>
      </c>
      <c r="Z15" s="10">
        <f>F15*0</f>
        <v>0</v>
      </c>
      <c r="AA15" s="10">
        <f>F15*(1-0)</f>
        <v>0</v>
      </c>
      <c r="AH15" s="10">
        <f t="shared" si="1"/>
        <v>0</v>
      </c>
      <c r="AI15" s="10">
        <f t="shared" si="2"/>
        <v>0</v>
      </c>
      <c r="AJ15" s="11" t="s">
        <v>566</v>
      </c>
      <c r="AK15" s="11" t="s">
        <v>600</v>
      </c>
      <c r="AL15" s="9" t="s">
        <v>612</v>
      </c>
    </row>
    <row r="16" spans="1:38" ht="12.75">
      <c r="A16" s="67" t="s">
        <v>8</v>
      </c>
      <c r="B16" s="1" t="s">
        <v>195</v>
      </c>
      <c r="C16" s="1" t="s">
        <v>341</v>
      </c>
      <c r="D16" s="1" t="s">
        <v>539</v>
      </c>
      <c r="E16" s="6">
        <v>12.29</v>
      </c>
      <c r="F16" s="22">
        <v>0</v>
      </c>
      <c r="G16" s="18">
        <f t="shared" si="3"/>
        <v>0</v>
      </c>
      <c r="H16" s="6">
        <v>0</v>
      </c>
      <c r="I16" s="6">
        <f t="shared" si="0"/>
        <v>0</v>
      </c>
      <c r="J16" s="6"/>
      <c r="K16" s="15"/>
      <c r="L16" s="15"/>
      <c r="M16" s="15"/>
      <c r="N16" s="15"/>
      <c r="O16" s="15"/>
      <c r="P16" s="15"/>
      <c r="Q16" s="15"/>
      <c r="R16" s="15"/>
      <c r="S16" s="15"/>
      <c r="U16" s="6">
        <f>IF(Y16=0,#REF!,0)</f>
        <v>0</v>
      </c>
      <c r="V16" s="6">
        <f>IF(Y16=15,#REF!,0)</f>
        <v>0</v>
      </c>
      <c r="W16" s="6" t="e">
        <f>IF(Y16=21,#REF!,0)</f>
        <v>#REF!</v>
      </c>
      <c r="Y16" s="10">
        <v>21</v>
      </c>
      <c r="Z16" s="10">
        <f>F16*0</f>
        <v>0</v>
      </c>
      <c r="AA16" s="10">
        <f>F16*(1-0)</f>
        <v>0</v>
      </c>
      <c r="AH16" s="10">
        <f t="shared" si="1"/>
        <v>0</v>
      </c>
      <c r="AI16" s="10">
        <f t="shared" si="2"/>
        <v>0</v>
      </c>
      <c r="AJ16" s="11" t="s">
        <v>566</v>
      </c>
      <c r="AK16" s="11" t="s">
        <v>600</v>
      </c>
      <c r="AL16" s="9" t="s">
        <v>612</v>
      </c>
    </row>
    <row r="17" spans="1:38" ht="12.75">
      <c r="A17" s="67" t="s">
        <v>9</v>
      </c>
      <c r="B17" s="1" t="s">
        <v>196</v>
      </c>
      <c r="C17" s="1" t="s">
        <v>347</v>
      </c>
      <c r="D17" s="1" t="s">
        <v>539</v>
      </c>
      <c r="E17" s="6">
        <v>8.08</v>
      </c>
      <c r="F17" s="22">
        <v>0</v>
      </c>
      <c r="G17" s="18">
        <f t="shared" si="3"/>
        <v>0</v>
      </c>
      <c r="H17" s="6">
        <v>1.7</v>
      </c>
      <c r="I17" s="6">
        <f t="shared" si="0"/>
        <v>13.735999999999999</v>
      </c>
      <c r="J17" s="6"/>
      <c r="K17" s="15"/>
      <c r="L17" s="15"/>
      <c r="M17" s="15"/>
      <c r="N17" s="15"/>
      <c r="O17" s="15"/>
      <c r="P17" s="15"/>
      <c r="Q17" s="15"/>
      <c r="R17" s="15"/>
      <c r="S17" s="15"/>
      <c r="U17" s="6">
        <f>IF(Y17=0,#REF!,0)</f>
        <v>0</v>
      </c>
      <c r="V17" s="6">
        <f>IF(Y17=15,#REF!,0)</f>
        <v>0</v>
      </c>
      <c r="W17" s="6" t="e">
        <f>IF(Y17=21,#REF!,0)</f>
        <v>#REF!</v>
      </c>
      <c r="Y17" s="10">
        <v>21</v>
      </c>
      <c r="Z17" s="10">
        <f>F17*0.585577045352077</f>
        <v>0</v>
      </c>
      <c r="AA17" s="10">
        <f>F17*(1-0.585577045352077)</f>
        <v>0</v>
      </c>
      <c r="AH17" s="10">
        <f t="shared" si="1"/>
        <v>0</v>
      </c>
      <c r="AI17" s="10">
        <f t="shared" si="2"/>
        <v>0</v>
      </c>
      <c r="AJ17" s="11" t="s">
        <v>566</v>
      </c>
      <c r="AK17" s="11" t="s">
        <v>600</v>
      </c>
      <c r="AL17" s="9" t="s">
        <v>612</v>
      </c>
    </row>
    <row r="18" spans="1:38" ht="12.75">
      <c r="A18" s="67" t="s">
        <v>10</v>
      </c>
      <c r="B18" s="1" t="s">
        <v>194</v>
      </c>
      <c r="C18" s="1" t="s">
        <v>348</v>
      </c>
      <c r="D18" s="1" t="s">
        <v>539</v>
      </c>
      <c r="E18" s="6">
        <v>0.46</v>
      </c>
      <c r="F18" s="22">
        <v>0</v>
      </c>
      <c r="G18" s="18">
        <f t="shared" si="3"/>
        <v>0</v>
      </c>
      <c r="H18" s="6">
        <v>0</v>
      </c>
      <c r="I18" s="6">
        <f t="shared" si="0"/>
        <v>0</v>
      </c>
      <c r="J18" s="6"/>
      <c r="K18" s="15"/>
      <c r="L18" s="15"/>
      <c r="M18" s="15"/>
      <c r="N18" s="15"/>
      <c r="O18" s="15"/>
      <c r="P18" s="15"/>
      <c r="Q18" s="15"/>
      <c r="R18" s="15"/>
      <c r="S18" s="15"/>
      <c r="U18" s="6">
        <f>IF(Y18=0,#REF!,0)</f>
        <v>0</v>
      </c>
      <c r="V18" s="6">
        <f>IF(Y18=15,#REF!,0)</f>
        <v>0</v>
      </c>
      <c r="W18" s="6" t="e">
        <f>IF(Y18=21,#REF!,0)</f>
        <v>#REF!</v>
      </c>
      <c r="Y18" s="10">
        <v>21</v>
      </c>
      <c r="Z18" s="10">
        <f aca="true" t="shared" si="4" ref="Z18:Z24">F18*0</f>
        <v>0</v>
      </c>
      <c r="AA18" s="10">
        <f aca="true" t="shared" si="5" ref="AA18:AA24">F18*(1-0)</f>
        <v>0</v>
      </c>
      <c r="AH18" s="10">
        <f t="shared" si="1"/>
        <v>0</v>
      </c>
      <c r="AI18" s="10">
        <f t="shared" si="2"/>
        <v>0</v>
      </c>
      <c r="AJ18" s="11" t="s">
        <v>566</v>
      </c>
      <c r="AK18" s="11" t="s">
        <v>600</v>
      </c>
      <c r="AL18" s="9" t="s">
        <v>612</v>
      </c>
    </row>
    <row r="19" spans="1:38" ht="12.75">
      <c r="A19" s="67" t="s">
        <v>11</v>
      </c>
      <c r="B19" s="1" t="s">
        <v>199</v>
      </c>
      <c r="C19" s="1" t="s">
        <v>349</v>
      </c>
      <c r="D19" s="1" t="s">
        <v>539</v>
      </c>
      <c r="E19" s="6">
        <v>35.8</v>
      </c>
      <c r="F19" s="22">
        <v>0</v>
      </c>
      <c r="G19" s="18">
        <f t="shared" si="3"/>
        <v>0</v>
      </c>
      <c r="H19" s="6">
        <v>0</v>
      </c>
      <c r="I19" s="6">
        <f t="shared" si="0"/>
        <v>0</v>
      </c>
      <c r="J19" s="6"/>
      <c r="K19" s="15"/>
      <c r="L19" s="15"/>
      <c r="M19" s="15"/>
      <c r="N19" s="15"/>
      <c r="O19" s="15"/>
      <c r="P19" s="15"/>
      <c r="Q19" s="15"/>
      <c r="R19" s="15"/>
      <c r="S19" s="15"/>
      <c r="U19" s="6">
        <f>IF(Y19=0,#REF!,0)</f>
        <v>0</v>
      </c>
      <c r="V19" s="6">
        <f>IF(Y19=15,#REF!,0)</f>
        <v>0</v>
      </c>
      <c r="W19" s="6" t="e">
        <f>IF(Y19=21,#REF!,0)</f>
        <v>#REF!</v>
      </c>
      <c r="Y19" s="10">
        <v>21</v>
      </c>
      <c r="Z19" s="10">
        <f t="shared" si="4"/>
        <v>0</v>
      </c>
      <c r="AA19" s="10">
        <f t="shared" si="5"/>
        <v>0</v>
      </c>
      <c r="AH19" s="10">
        <f t="shared" si="1"/>
        <v>0</v>
      </c>
      <c r="AI19" s="10">
        <f t="shared" si="2"/>
        <v>0</v>
      </c>
      <c r="AJ19" s="11" t="s">
        <v>566</v>
      </c>
      <c r="AK19" s="11" t="s">
        <v>600</v>
      </c>
      <c r="AL19" s="9" t="s">
        <v>612</v>
      </c>
    </row>
    <row r="20" spans="1:38" ht="12.75">
      <c r="A20" s="67" t="s">
        <v>12</v>
      </c>
      <c r="B20" s="1" t="s">
        <v>194</v>
      </c>
      <c r="C20" s="1" t="s">
        <v>350</v>
      </c>
      <c r="D20" s="1" t="s">
        <v>539</v>
      </c>
      <c r="E20" s="6">
        <v>5</v>
      </c>
      <c r="F20" s="22">
        <v>0</v>
      </c>
      <c r="G20" s="18">
        <f t="shared" si="3"/>
        <v>0</v>
      </c>
      <c r="H20" s="6">
        <v>0</v>
      </c>
      <c r="I20" s="6">
        <f t="shared" si="0"/>
        <v>0</v>
      </c>
      <c r="J20" s="6"/>
      <c r="K20" s="15"/>
      <c r="L20" s="15"/>
      <c r="M20" s="15"/>
      <c r="N20" s="15"/>
      <c r="O20" s="15"/>
      <c r="P20" s="15"/>
      <c r="Q20" s="15"/>
      <c r="R20" s="15"/>
      <c r="S20" s="15"/>
      <c r="U20" s="6">
        <f>IF(Y20=0,#REF!,0)</f>
        <v>0</v>
      </c>
      <c r="V20" s="6">
        <f>IF(Y20=15,#REF!,0)</f>
        <v>0</v>
      </c>
      <c r="W20" s="6" t="e">
        <f>IF(Y20=21,#REF!,0)</f>
        <v>#REF!</v>
      </c>
      <c r="Y20" s="10">
        <v>21</v>
      </c>
      <c r="Z20" s="10">
        <f t="shared" si="4"/>
        <v>0</v>
      </c>
      <c r="AA20" s="10">
        <f t="shared" si="5"/>
        <v>0</v>
      </c>
      <c r="AH20" s="10">
        <f t="shared" si="1"/>
        <v>0</v>
      </c>
      <c r="AI20" s="10">
        <f t="shared" si="2"/>
        <v>0</v>
      </c>
      <c r="AJ20" s="11" t="s">
        <v>566</v>
      </c>
      <c r="AK20" s="11" t="s">
        <v>600</v>
      </c>
      <c r="AL20" s="9" t="s">
        <v>612</v>
      </c>
    </row>
    <row r="21" spans="1:38" ht="12.75">
      <c r="A21" s="67" t="s">
        <v>13</v>
      </c>
      <c r="B21" s="1" t="s">
        <v>194</v>
      </c>
      <c r="C21" s="1" t="s">
        <v>351</v>
      </c>
      <c r="D21" s="1" t="s">
        <v>539</v>
      </c>
      <c r="E21" s="6">
        <v>4.52</v>
      </c>
      <c r="F21" s="22">
        <v>0</v>
      </c>
      <c r="G21" s="18">
        <f t="shared" si="3"/>
        <v>0</v>
      </c>
      <c r="H21" s="6">
        <v>0</v>
      </c>
      <c r="I21" s="6">
        <f t="shared" si="0"/>
        <v>0</v>
      </c>
      <c r="J21" s="6"/>
      <c r="K21" s="15"/>
      <c r="L21" s="15"/>
      <c r="M21" s="15"/>
      <c r="N21" s="15"/>
      <c r="O21" s="15"/>
      <c r="P21" s="15"/>
      <c r="Q21" s="15"/>
      <c r="R21" s="15"/>
      <c r="S21" s="15"/>
      <c r="U21" s="6">
        <f>IF(Y21=0,#REF!,0)</f>
        <v>0</v>
      </c>
      <c r="V21" s="6">
        <f>IF(Y21=15,#REF!,0)</f>
        <v>0</v>
      </c>
      <c r="W21" s="6" t="e">
        <f>IF(Y21=21,#REF!,0)</f>
        <v>#REF!</v>
      </c>
      <c r="Y21" s="10">
        <v>21</v>
      </c>
      <c r="Z21" s="10">
        <f t="shared" si="4"/>
        <v>0</v>
      </c>
      <c r="AA21" s="10">
        <f t="shared" si="5"/>
        <v>0</v>
      </c>
      <c r="AH21" s="10">
        <f t="shared" si="1"/>
        <v>0</v>
      </c>
      <c r="AI21" s="10">
        <f t="shared" si="2"/>
        <v>0</v>
      </c>
      <c r="AJ21" s="11" t="s">
        <v>566</v>
      </c>
      <c r="AK21" s="11" t="s">
        <v>600</v>
      </c>
      <c r="AL21" s="9" t="s">
        <v>612</v>
      </c>
    </row>
    <row r="22" spans="1:38" ht="12.75">
      <c r="A22" s="67" t="s">
        <v>14</v>
      </c>
      <c r="B22" s="1" t="s">
        <v>200</v>
      </c>
      <c r="C22" s="1" t="s">
        <v>352</v>
      </c>
      <c r="D22" s="1" t="s">
        <v>539</v>
      </c>
      <c r="E22" s="6">
        <v>22.74</v>
      </c>
      <c r="F22" s="22">
        <v>0</v>
      </c>
      <c r="G22" s="18">
        <f t="shared" si="3"/>
        <v>0</v>
      </c>
      <c r="H22" s="6">
        <v>0</v>
      </c>
      <c r="I22" s="6">
        <f t="shared" si="0"/>
        <v>0</v>
      </c>
      <c r="J22" s="6"/>
      <c r="K22" s="15"/>
      <c r="L22" s="15"/>
      <c r="M22" s="15"/>
      <c r="N22" s="15"/>
      <c r="O22" s="15"/>
      <c r="P22" s="15"/>
      <c r="Q22" s="15"/>
      <c r="R22" s="15"/>
      <c r="S22" s="15"/>
      <c r="U22" s="6">
        <f>IF(Y22=0,#REF!,0)</f>
        <v>0</v>
      </c>
      <c r="V22" s="6">
        <f>IF(Y22=15,#REF!,0)</f>
        <v>0</v>
      </c>
      <c r="W22" s="6" t="e">
        <f>IF(Y22=21,#REF!,0)</f>
        <v>#REF!</v>
      </c>
      <c r="Y22" s="10">
        <v>21</v>
      </c>
      <c r="Z22" s="10">
        <f t="shared" si="4"/>
        <v>0</v>
      </c>
      <c r="AA22" s="10">
        <f t="shared" si="5"/>
        <v>0</v>
      </c>
      <c r="AH22" s="10">
        <f t="shared" si="1"/>
        <v>0</v>
      </c>
      <c r="AI22" s="10">
        <f t="shared" si="2"/>
        <v>0</v>
      </c>
      <c r="AJ22" s="11" t="s">
        <v>566</v>
      </c>
      <c r="AK22" s="11" t="s">
        <v>600</v>
      </c>
      <c r="AL22" s="9" t="s">
        <v>612</v>
      </c>
    </row>
    <row r="23" spans="1:38" ht="12.75">
      <c r="A23" s="67" t="s">
        <v>15</v>
      </c>
      <c r="B23" s="1" t="s">
        <v>194</v>
      </c>
      <c r="C23" s="1" t="s">
        <v>353</v>
      </c>
      <c r="D23" s="1" t="s">
        <v>539</v>
      </c>
      <c r="E23" s="6">
        <v>60.24</v>
      </c>
      <c r="F23" s="22">
        <v>0</v>
      </c>
      <c r="G23" s="18">
        <f t="shared" si="3"/>
        <v>0</v>
      </c>
      <c r="H23" s="6">
        <v>0</v>
      </c>
      <c r="I23" s="6">
        <f t="shared" si="0"/>
        <v>0</v>
      </c>
      <c r="J23" s="6"/>
      <c r="K23" s="15"/>
      <c r="L23" s="15"/>
      <c r="M23" s="15"/>
      <c r="N23" s="15"/>
      <c r="O23" s="15"/>
      <c r="P23" s="15"/>
      <c r="Q23" s="15"/>
      <c r="R23" s="15"/>
      <c r="S23" s="15"/>
      <c r="U23" s="6">
        <f>IF(Y23=0,#REF!,0)</f>
        <v>0</v>
      </c>
      <c r="V23" s="6">
        <f>IF(Y23=15,#REF!,0)</f>
        <v>0</v>
      </c>
      <c r="W23" s="6" t="e">
        <f>IF(Y23=21,#REF!,0)</f>
        <v>#REF!</v>
      </c>
      <c r="Y23" s="10">
        <v>21</v>
      </c>
      <c r="Z23" s="10">
        <f t="shared" si="4"/>
        <v>0</v>
      </c>
      <c r="AA23" s="10">
        <f t="shared" si="5"/>
        <v>0</v>
      </c>
      <c r="AH23" s="10">
        <f t="shared" si="1"/>
        <v>0</v>
      </c>
      <c r="AI23" s="10">
        <f t="shared" si="2"/>
        <v>0</v>
      </c>
      <c r="AJ23" s="11" t="s">
        <v>566</v>
      </c>
      <c r="AK23" s="11" t="s">
        <v>600</v>
      </c>
      <c r="AL23" s="9" t="s">
        <v>612</v>
      </c>
    </row>
    <row r="24" spans="1:38" ht="12.75">
      <c r="A24" s="67" t="s">
        <v>16</v>
      </c>
      <c r="B24" s="1" t="s">
        <v>194</v>
      </c>
      <c r="C24" s="1" t="s">
        <v>354</v>
      </c>
      <c r="D24" s="1" t="s">
        <v>539</v>
      </c>
      <c r="E24" s="6">
        <v>2.28</v>
      </c>
      <c r="F24" s="22">
        <v>0</v>
      </c>
      <c r="G24" s="18">
        <f t="shared" si="3"/>
        <v>0</v>
      </c>
      <c r="H24" s="6">
        <v>0</v>
      </c>
      <c r="I24" s="6">
        <f t="shared" si="0"/>
        <v>0</v>
      </c>
      <c r="J24" s="6"/>
      <c r="K24" s="15"/>
      <c r="L24" s="15"/>
      <c r="M24" s="15"/>
      <c r="N24" s="15"/>
      <c r="O24" s="15"/>
      <c r="P24" s="15"/>
      <c r="Q24" s="15"/>
      <c r="R24" s="15"/>
      <c r="S24" s="15"/>
      <c r="U24" s="6">
        <f>IF(Y24=0,#REF!,0)</f>
        <v>0</v>
      </c>
      <c r="V24" s="6">
        <f>IF(Y24=15,#REF!,0)</f>
        <v>0</v>
      </c>
      <c r="W24" s="6" t="e">
        <f>IF(Y24=21,#REF!,0)</f>
        <v>#REF!</v>
      </c>
      <c r="Y24" s="10">
        <v>21</v>
      </c>
      <c r="Z24" s="10">
        <f t="shared" si="4"/>
        <v>0</v>
      </c>
      <c r="AA24" s="10">
        <f t="shared" si="5"/>
        <v>0</v>
      </c>
      <c r="AH24" s="10">
        <f t="shared" si="1"/>
        <v>0</v>
      </c>
      <c r="AI24" s="10">
        <f t="shared" si="2"/>
        <v>0</v>
      </c>
      <c r="AJ24" s="11" t="s">
        <v>566</v>
      </c>
      <c r="AK24" s="11" t="s">
        <v>600</v>
      </c>
      <c r="AL24" s="9" t="s">
        <v>612</v>
      </c>
    </row>
    <row r="25" spans="1:255" ht="12.75">
      <c r="A25" s="98" t="s">
        <v>17</v>
      </c>
      <c r="B25" s="98" t="s">
        <v>284</v>
      </c>
      <c r="C25" s="98" t="s">
        <v>474</v>
      </c>
      <c r="D25" s="98" t="s">
        <v>540</v>
      </c>
      <c r="E25" s="120" t="s">
        <v>871</v>
      </c>
      <c r="F25" s="22">
        <v>0</v>
      </c>
      <c r="G25" s="18">
        <f t="shared" si="3"/>
        <v>0</v>
      </c>
      <c r="H25" s="6">
        <v>4E-05</v>
      </c>
      <c r="I25" s="6">
        <f t="shared" si="0"/>
        <v>0.0112904</v>
      </c>
      <c r="J25" s="98"/>
      <c r="K25" s="98" t="s">
        <v>474</v>
      </c>
      <c r="L25" s="98" t="s">
        <v>17</v>
      </c>
      <c r="M25" s="98"/>
      <c r="N25" s="98" t="s">
        <v>284</v>
      </c>
      <c r="O25" s="98" t="s">
        <v>474</v>
      </c>
      <c r="P25" s="98" t="s">
        <v>17</v>
      </c>
      <c r="Q25" s="98"/>
      <c r="R25" s="98" t="s">
        <v>284</v>
      </c>
      <c r="S25" s="98" t="s">
        <v>474</v>
      </c>
      <c r="T25" s="98" t="s">
        <v>17</v>
      </c>
      <c r="U25" s="98"/>
      <c r="V25" s="98" t="s">
        <v>284</v>
      </c>
      <c r="W25" s="98" t="s">
        <v>474</v>
      </c>
      <c r="X25" s="98" t="s">
        <v>17</v>
      </c>
      <c r="Y25" s="98"/>
      <c r="Z25" s="98" t="s">
        <v>284</v>
      </c>
      <c r="AA25" s="98" t="s">
        <v>474</v>
      </c>
      <c r="AB25" s="98" t="s">
        <v>17</v>
      </c>
      <c r="AC25" s="98"/>
      <c r="AD25" s="98" t="s">
        <v>284</v>
      </c>
      <c r="AE25" s="98" t="s">
        <v>474</v>
      </c>
      <c r="AF25" s="98" t="s">
        <v>17</v>
      </c>
      <c r="AG25" s="98"/>
      <c r="AH25" s="98" t="s">
        <v>284</v>
      </c>
      <c r="AI25" s="98" t="s">
        <v>474</v>
      </c>
      <c r="AJ25" s="98" t="s">
        <v>17</v>
      </c>
      <c r="AK25" s="98"/>
      <c r="AL25" s="98" t="s">
        <v>284</v>
      </c>
      <c r="AM25" s="98" t="s">
        <v>474</v>
      </c>
      <c r="AN25" s="98" t="s">
        <v>17</v>
      </c>
      <c r="AO25" s="98"/>
      <c r="AP25" s="98" t="s">
        <v>284</v>
      </c>
      <c r="AQ25" s="98" t="s">
        <v>474</v>
      </c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 t="s">
        <v>17</v>
      </c>
      <c r="FA25" s="98"/>
      <c r="FB25" s="98" t="s">
        <v>284</v>
      </c>
      <c r="FC25" s="98" t="s">
        <v>474</v>
      </c>
      <c r="FD25" s="98" t="s">
        <v>17</v>
      </c>
      <c r="FE25" s="98"/>
      <c r="FF25" s="98" t="s">
        <v>284</v>
      </c>
      <c r="FG25" s="98" t="s">
        <v>474</v>
      </c>
      <c r="FH25" s="98" t="s">
        <v>17</v>
      </c>
      <c r="FI25" s="98"/>
      <c r="FJ25" s="98" t="s">
        <v>284</v>
      </c>
      <c r="FK25" s="98" t="s">
        <v>474</v>
      </c>
      <c r="FL25" s="98" t="s">
        <v>17</v>
      </c>
      <c r="FM25" s="98"/>
      <c r="FN25" s="98" t="s">
        <v>284</v>
      </c>
      <c r="FO25" s="98" t="s">
        <v>474</v>
      </c>
      <c r="FP25" s="98" t="s">
        <v>17</v>
      </c>
      <c r="FQ25" s="98"/>
      <c r="FR25" s="98" t="s">
        <v>284</v>
      </c>
      <c r="FS25" s="98" t="s">
        <v>474</v>
      </c>
      <c r="FT25" s="98" t="s">
        <v>17</v>
      </c>
      <c r="FU25" s="98"/>
      <c r="FV25" s="98" t="s">
        <v>284</v>
      </c>
      <c r="FW25" s="98" t="s">
        <v>474</v>
      </c>
      <c r="FX25" s="98" t="s">
        <v>17</v>
      </c>
      <c r="FY25" s="98"/>
      <c r="FZ25" s="98" t="s">
        <v>284</v>
      </c>
      <c r="GA25" s="98" t="s">
        <v>474</v>
      </c>
      <c r="GB25" s="98" t="s">
        <v>17</v>
      </c>
      <c r="GC25" s="98"/>
      <c r="GD25" s="98" t="s">
        <v>284</v>
      </c>
      <c r="GE25" s="98" t="s">
        <v>474</v>
      </c>
      <c r="GF25" s="98" t="s">
        <v>17</v>
      </c>
      <c r="GG25" s="98"/>
      <c r="GH25" s="98" t="s">
        <v>284</v>
      </c>
      <c r="GI25" s="98" t="s">
        <v>474</v>
      </c>
      <c r="GJ25" s="98" t="s">
        <v>17</v>
      </c>
      <c r="GK25" s="98"/>
      <c r="GL25" s="98" t="s">
        <v>284</v>
      </c>
      <c r="GM25" s="98" t="s">
        <v>474</v>
      </c>
      <c r="GN25" s="98" t="s">
        <v>17</v>
      </c>
      <c r="GO25" s="98"/>
      <c r="GP25" s="98" t="s">
        <v>284</v>
      </c>
      <c r="GQ25" s="98" t="s">
        <v>474</v>
      </c>
      <c r="GR25" s="98" t="s">
        <v>17</v>
      </c>
      <c r="GS25" s="98"/>
      <c r="GT25" s="98" t="s">
        <v>284</v>
      </c>
      <c r="GU25" s="98" t="s">
        <v>474</v>
      </c>
      <c r="GV25" s="98" t="s">
        <v>17</v>
      </c>
      <c r="GW25" s="98"/>
      <c r="GX25" s="98" t="s">
        <v>284</v>
      </c>
      <c r="GY25" s="98" t="s">
        <v>474</v>
      </c>
      <c r="GZ25" s="98" t="s">
        <v>17</v>
      </c>
      <c r="HA25" s="98"/>
      <c r="HB25" s="98" t="s">
        <v>284</v>
      </c>
      <c r="HC25" s="98" t="s">
        <v>474</v>
      </c>
      <c r="HD25" s="98" t="s">
        <v>17</v>
      </c>
      <c r="HE25" s="98"/>
      <c r="HF25" s="98" t="s">
        <v>284</v>
      </c>
      <c r="HG25" s="98" t="s">
        <v>474</v>
      </c>
      <c r="HH25" s="98" t="s">
        <v>17</v>
      </c>
      <c r="HI25" s="98"/>
      <c r="HJ25" s="98" t="s">
        <v>284</v>
      </c>
      <c r="HK25" s="98" t="s">
        <v>474</v>
      </c>
      <c r="HL25" s="98" t="s">
        <v>17</v>
      </c>
      <c r="HM25" s="98"/>
      <c r="HN25" s="98" t="s">
        <v>284</v>
      </c>
      <c r="HO25" s="98" t="s">
        <v>474</v>
      </c>
      <c r="HP25" s="98" t="s">
        <v>17</v>
      </c>
      <c r="HQ25" s="98"/>
      <c r="HR25" s="98" t="s">
        <v>284</v>
      </c>
      <c r="HS25" s="98" t="s">
        <v>474</v>
      </c>
      <c r="HT25" s="98" t="s">
        <v>17</v>
      </c>
      <c r="HU25" s="98"/>
      <c r="HV25" s="98" t="s">
        <v>284</v>
      </c>
      <c r="HW25" s="98" t="s">
        <v>474</v>
      </c>
      <c r="HX25" s="98" t="s">
        <v>17</v>
      </c>
      <c r="HY25" s="98"/>
      <c r="HZ25" s="98" t="s">
        <v>284</v>
      </c>
      <c r="IA25" s="98" t="s">
        <v>474</v>
      </c>
      <c r="IB25" s="98" t="s">
        <v>17</v>
      </c>
      <c r="IC25" s="98"/>
      <c r="ID25" s="98" t="s">
        <v>284</v>
      </c>
      <c r="IE25" s="98" t="s">
        <v>474</v>
      </c>
      <c r="IF25" s="98" t="s">
        <v>17</v>
      </c>
      <c r="IG25" s="98"/>
      <c r="IH25" s="98" t="s">
        <v>284</v>
      </c>
      <c r="II25" s="98" t="s">
        <v>474</v>
      </c>
      <c r="IJ25" s="98" t="s">
        <v>17</v>
      </c>
      <c r="IK25" s="98"/>
      <c r="IL25" s="98" t="s">
        <v>284</v>
      </c>
      <c r="IM25" s="98" t="s">
        <v>474</v>
      </c>
      <c r="IN25" s="98" t="s">
        <v>17</v>
      </c>
      <c r="IO25" s="98"/>
      <c r="IP25" s="98" t="s">
        <v>284</v>
      </c>
      <c r="IQ25" s="98" t="s">
        <v>474</v>
      </c>
      <c r="IR25" s="98" t="s">
        <v>17</v>
      </c>
      <c r="IS25" s="98"/>
      <c r="IT25" s="98" t="s">
        <v>284</v>
      </c>
      <c r="IU25" s="98" t="s">
        <v>474</v>
      </c>
    </row>
    <row r="26" spans="1:32" ht="12.75">
      <c r="A26" s="68"/>
      <c r="B26" s="5" t="s">
        <v>16</v>
      </c>
      <c r="C26" s="480" t="s">
        <v>355</v>
      </c>
      <c r="D26" s="481"/>
      <c r="E26" s="481"/>
      <c r="F26" s="481"/>
      <c r="G26" s="19">
        <f>SUM(G27:G33)</f>
        <v>0</v>
      </c>
      <c r="H26" s="9"/>
      <c r="I26" s="13">
        <f>SUM(I27:I33)</f>
        <v>0</v>
      </c>
      <c r="J26" s="15"/>
      <c r="K26" s="13">
        <f>IF(L26="PR",#REF!,SUM(J27:J33))</f>
        <v>0</v>
      </c>
      <c r="L26" s="9" t="s">
        <v>556</v>
      </c>
      <c r="M26" s="13" t="e">
        <f>IF(L26="HS",#REF!,0)</f>
        <v>#REF!</v>
      </c>
      <c r="N26" s="13">
        <f>IF(L26="HS",G26-K26,0)</f>
        <v>0</v>
      </c>
      <c r="O26" s="13">
        <f>IF(L26="PS",#REF!,0)</f>
        <v>0</v>
      </c>
      <c r="P26" s="13">
        <f>IF(L26="PS",G26-K26,0)</f>
        <v>0</v>
      </c>
      <c r="Q26" s="13">
        <f>IF(L26="MP",#REF!,0)</f>
        <v>0</v>
      </c>
      <c r="R26" s="13">
        <f>IF(L26="MP",G26-K26,0)</f>
        <v>0</v>
      </c>
      <c r="S26" s="13">
        <f>IF(L26="OM",#REF!,0)</f>
        <v>0</v>
      </c>
      <c r="T26" s="9"/>
      <c r="AD26" s="13">
        <f>SUM(U27:U33)</f>
        <v>0</v>
      </c>
      <c r="AE26" s="13">
        <f>SUM(V27:V33)</f>
        <v>0</v>
      </c>
      <c r="AF26" s="13" t="e">
        <f>SUM(W27:W33)</f>
        <v>#REF!</v>
      </c>
    </row>
    <row r="27" spans="1:38" ht="12.75">
      <c r="A27" s="121" t="s">
        <v>18</v>
      </c>
      <c r="B27" s="1" t="s">
        <v>201</v>
      </c>
      <c r="C27" s="98" t="s">
        <v>821</v>
      </c>
      <c r="D27" s="1" t="s">
        <v>539</v>
      </c>
      <c r="E27" s="6">
        <v>115.73</v>
      </c>
      <c r="F27" s="22">
        <v>0</v>
      </c>
      <c r="G27" s="18">
        <f>E27*F27</f>
        <v>0</v>
      </c>
      <c r="H27" s="6">
        <v>0</v>
      </c>
      <c r="I27" s="6">
        <f aca="true" t="shared" si="6" ref="I27:I33">E27*H27</f>
        <v>0</v>
      </c>
      <c r="J27" s="6"/>
      <c r="K27" s="15"/>
      <c r="L27" s="15"/>
      <c r="M27" s="15"/>
      <c r="N27" s="15"/>
      <c r="O27" s="15"/>
      <c r="P27" s="15"/>
      <c r="Q27" s="15"/>
      <c r="R27" s="15"/>
      <c r="S27" s="15"/>
      <c r="U27" s="6">
        <f>IF(Y27=0,#REF!,0)</f>
        <v>0</v>
      </c>
      <c r="V27" s="6">
        <f>IF(Y27=15,#REF!,0)</f>
        <v>0</v>
      </c>
      <c r="W27" s="6" t="e">
        <f>IF(Y27=21,#REF!,0)</f>
        <v>#REF!</v>
      </c>
      <c r="Y27" s="10">
        <v>21</v>
      </c>
      <c r="Z27" s="10">
        <f aca="true" t="shared" si="7" ref="Z27:Z33">F27*0</f>
        <v>0</v>
      </c>
      <c r="AA27" s="10">
        <f aca="true" t="shared" si="8" ref="AA27:AA33">F27*(1-0)</f>
        <v>0</v>
      </c>
      <c r="AH27" s="10">
        <f aca="true" t="shared" si="9" ref="AH27:AH33">E27*Z27</f>
        <v>0</v>
      </c>
      <c r="AI27" s="10">
        <f aca="true" t="shared" si="10" ref="AI27:AI33">E27*AA27</f>
        <v>0</v>
      </c>
      <c r="AJ27" s="11" t="s">
        <v>567</v>
      </c>
      <c r="AK27" s="11" t="s">
        <v>600</v>
      </c>
      <c r="AL27" s="9" t="s">
        <v>612</v>
      </c>
    </row>
    <row r="28" spans="1:38" ht="12.75">
      <c r="A28" s="121" t="s">
        <v>19</v>
      </c>
      <c r="B28" s="1" t="s">
        <v>202</v>
      </c>
      <c r="C28" s="98" t="s">
        <v>822</v>
      </c>
      <c r="D28" s="1" t="s">
        <v>539</v>
      </c>
      <c r="E28" s="6">
        <v>115.73</v>
      </c>
      <c r="F28" s="22">
        <v>0</v>
      </c>
      <c r="G28" s="18">
        <f aca="true" t="shared" si="11" ref="G28:G38">E28*F28</f>
        <v>0</v>
      </c>
      <c r="H28" s="6">
        <v>0</v>
      </c>
      <c r="I28" s="6">
        <f t="shared" si="6"/>
        <v>0</v>
      </c>
      <c r="J28" s="6"/>
      <c r="K28" s="15"/>
      <c r="L28" s="15"/>
      <c r="M28" s="15"/>
      <c r="N28" s="15"/>
      <c r="O28" s="15"/>
      <c r="P28" s="15"/>
      <c r="Q28" s="15"/>
      <c r="R28" s="15"/>
      <c r="S28" s="15"/>
      <c r="U28" s="6">
        <f>IF(Y28=0,#REF!,0)</f>
        <v>0</v>
      </c>
      <c r="V28" s="6">
        <f>IF(Y28=15,#REF!,0)</f>
        <v>0</v>
      </c>
      <c r="W28" s="6" t="e">
        <f>IF(Y28=21,#REF!,0)</f>
        <v>#REF!</v>
      </c>
      <c r="Y28" s="10">
        <v>21</v>
      </c>
      <c r="Z28" s="10">
        <f t="shared" si="7"/>
        <v>0</v>
      </c>
      <c r="AA28" s="10">
        <f t="shared" si="8"/>
        <v>0</v>
      </c>
      <c r="AH28" s="10">
        <f t="shared" si="9"/>
        <v>0</v>
      </c>
      <c r="AI28" s="10">
        <f t="shared" si="10"/>
        <v>0</v>
      </c>
      <c r="AJ28" s="11" t="s">
        <v>567</v>
      </c>
      <c r="AK28" s="11" t="s">
        <v>600</v>
      </c>
      <c r="AL28" s="9" t="s">
        <v>612</v>
      </c>
    </row>
    <row r="29" spans="1:38" ht="12.75">
      <c r="A29" s="121" t="s">
        <v>20</v>
      </c>
      <c r="B29" s="1" t="s">
        <v>203</v>
      </c>
      <c r="C29" s="98" t="s">
        <v>823</v>
      </c>
      <c r="D29" s="1" t="s">
        <v>539</v>
      </c>
      <c r="E29" s="6">
        <v>115.73</v>
      </c>
      <c r="F29" s="22">
        <v>0</v>
      </c>
      <c r="G29" s="18">
        <f t="shared" si="11"/>
        <v>0</v>
      </c>
      <c r="H29" s="6">
        <v>0</v>
      </c>
      <c r="I29" s="6">
        <f t="shared" si="6"/>
        <v>0</v>
      </c>
      <c r="J29" s="6"/>
      <c r="K29" s="15"/>
      <c r="L29" s="15"/>
      <c r="M29" s="15"/>
      <c r="N29" s="15"/>
      <c r="O29" s="15"/>
      <c r="P29" s="15"/>
      <c r="Q29" s="15"/>
      <c r="R29" s="15"/>
      <c r="S29" s="15"/>
      <c r="U29" s="6">
        <f>IF(Y29=0,#REF!,0)</f>
        <v>0</v>
      </c>
      <c r="V29" s="6">
        <f>IF(Y29=15,#REF!,0)</f>
        <v>0</v>
      </c>
      <c r="W29" s="6" t="e">
        <f>IF(Y29=21,#REF!,0)</f>
        <v>#REF!</v>
      </c>
      <c r="Y29" s="10">
        <v>21</v>
      </c>
      <c r="Z29" s="10">
        <f t="shared" si="7"/>
        <v>0</v>
      </c>
      <c r="AA29" s="10">
        <f t="shared" si="8"/>
        <v>0</v>
      </c>
      <c r="AH29" s="10">
        <f t="shared" si="9"/>
        <v>0</v>
      </c>
      <c r="AI29" s="10">
        <f t="shared" si="10"/>
        <v>0</v>
      </c>
      <c r="AJ29" s="11" t="s">
        <v>567</v>
      </c>
      <c r="AK29" s="11" t="s">
        <v>600</v>
      </c>
      <c r="AL29" s="9" t="s">
        <v>612</v>
      </c>
    </row>
    <row r="30" spans="1:38" ht="12.75">
      <c r="A30" s="121" t="s">
        <v>21</v>
      </c>
      <c r="B30" s="1" t="s">
        <v>204</v>
      </c>
      <c r="C30" s="98" t="s">
        <v>824</v>
      </c>
      <c r="D30" s="1" t="s">
        <v>539</v>
      </c>
      <c r="E30" s="6">
        <v>115.73</v>
      </c>
      <c r="F30" s="22">
        <v>0</v>
      </c>
      <c r="G30" s="18">
        <f t="shared" si="11"/>
        <v>0</v>
      </c>
      <c r="H30" s="6">
        <v>0</v>
      </c>
      <c r="I30" s="6">
        <f t="shared" si="6"/>
        <v>0</v>
      </c>
      <c r="J30" s="6"/>
      <c r="K30" s="15"/>
      <c r="L30" s="15"/>
      <c r="M30" s="15"/>
      <c r="N30" s="15"/>
      <c r="O30" s="15"/>
      <c r="P30" s="15"/>
      <c r="Q30" s="15"/>
      <c r="R30" s="15"/>
      <c r="S30" s="15"/>
      <c r="U30" s="6">
        <f>IF(Y30=0,#REF!,0)</f>
        <v>0</v>
      </c>
      <c r="V30" s="6">
        <f>IF(Y30=15,#REF!,0)</f>
        <v>0</v>
      </c>
      <c r="W30" s="6" t="e">
        <f>IF(Y30=21,#REF!,0)</f>
        <v>#REF!</v>
      </c>
      <c r="Y30" s="10">
        <v>21</v>
      </c>
      <c r="Z30" s="10">
        <f t="shared" si="7"/>
        <v>0</v>
      </c>
      <c r="AA30" s="10">
        <f t="shared" si="8"/>
        <v>0</v>
      </c>
      <c r="AH30" s="10">
        <f t="shared" si="9"/>
        <v>0</v>
      </c>
      <c r="AI30" s="10">
        <f t="shared" si="10"/>
        <v>0</v>
      </c>
      <c r="AJ30" s="11" t="s">
        <v>567</v>
      </c>
      <c r="AK30" s="11" t="s">
        <v>600</v>
      </c>
      <c r="AL30" s="9" t="s">
        <v>612</v>
      </c>
    </row>
    <row r="31" spans="1:38" ht="12.75">
      <c r="A31" s="121" t="s">
        <v>22</v>
      </c>
      <c r="B31" s="1" t="s">
        <v>205</v>
      </c>
      <c r="C31" s="98" t="s">
        <v>825</v>
      </c>
      <c r="D31" s="1" t="s">
        <v>539</v>
      </c>
      <c r="E31" s="6">
        <v>115.73</v>
      </c>
      <c r="F31" s="22">
        <v>0</v>
      </c>
      <c r="G31" s="18">
        <f t="shared" si="11"/>
        <v>0</v>
      </c>
      <c r="H31" s="6">
        <v>0</v>
      </c>
      <c r="I31" s="6">
        <f t="shared" si="6"/>
        <v>0</v>
      </c>
      <c r="J31" s="6"/>
      <c r="K31" s="15"/>
      <c r="L31" s="15"/>
      <c r="M31" s="15"/>
      <c r="N31" s="15"/>
      <c r="O31" s="15"/>
      <c r="P31" s="15"/>
      <c r="Q31" s="15"/>
      <c r="R31" s="15"/>
      <c r="S31" s="15"/>
      <c r="U31" s="6">
        <f>IF(Y31=0,#REF!,0)</f>
        <v>0</v>
      </c>
      <c r="V31" s="6">
        <f>IF(Y31=15,#REF!,0)</f>
        <v>0</v>
      </c>
      <c r="W31" s="6" t="e">
        <f>IF(Y31=21,#REF!,0)</f>
        <v>#REF!</v>
      </c>
      <c r="Y31" s="10">
        <v>21</v>
      </c>
      <c r="Z31" s="10">
        <f t="shared" si="7"/>
        <v>0</v>
      </c>
      <c r="AA31" s="10">
        <f t="shared" si="8"/>
        <v>0</v>
      </c>
      <c r="AH31" s="10">
        <f t="shared" si="9"/>
        <v>0</v>
      </c>
      <c r="AI31" s="10">
        <f t="shared" si="10"/>
        <v>0</v>
      </c>
      <c r="AJ31" s="11" t="s">
        <v>567</v>
      </c>
      <c r="AK31" s="11" t="s">
        <v>600</v>
      </c>
      <c r="AL31" s="9" t="s">
        <v>612</v>
      </c>
    </row>
    <row r="32" spans="1:38" ht="12.75">
      <c r="A32" s="121" t="s">
        <v>23</v>
      </c>
      <c r="B32" s="1" t="s">
        <v>206</v>
      </c>
      <c r="C32" s="98" t="s">
        <v>826</v>
      </c>
      <c r="D32" s="1" t="s">
        <v>539</v>
      </c>
      <c r="E32" s="6">
        <v>138.31</v>
      </c>
      <c r="F32" s="22">
        <v>0</v>
      </c>
      <c r="G32" s="18">
        <f t="shared" si="11"/>
        <v>0</v>
      </c>
      <c r="H32" s="6">
        <v>0</v>
      </c>
      <c r="I32" s="6">
        <f t="shared" si="6"/>
        <v>0</v>
      </c>
      <c r="J32" s="6"/>
      <c r="K32" s="15"/>
      <c r="L32" s="15"/>
      <c r="M32" s="15"/>
      <c r="N32" s="15"/>
      <c r="O32" s="15"/>
      <c r="P32" s="15"/>
      <c r="Q32" s="15"/>
      <c r="R32" s="15"/>
      <c r="S32" s="15"/>
      <c r="U32" s="6">
        <f>IF(Y32=0,#REF!,0)</f>
        <v>0</v>
      </c>
      <c r="V32" s="6">
        <f>IF(Y32=15,#REF!,0)</f>
        <v>0</v>
      </c>
      <c r="W32" s="6" t="e">
        <f>IF(Y32=21,#REF!,0)</f>
        <v>#REF!</v>
      </c>
      <c r="Y32" s="10">
        <v>21</v>
      </c>
      <c r="Z32" s="10">
        <f t="shared" si="7"/>
        <v>0</v>
      </c>
      <c r="AA32" s="10">
        <f t="shared" si="8"/>
        <v>0</v>
      </c>
      <c r="AH32" s="10">
        <f t="shared" si="9"/>
        <v>0</v>
      </c>
      <c r="AI32" s="10">
        <f t="shared" si="10"/>
        <v>0</v>
      </c>
      <c r="AJ32" s="11" t="s">
        <v>567</v>
      </c>
      <c r="AK32" s="11" t="s">
        <v>600</v>
      </c>
      <c r="AL32" s="9" t="s">
        <v>612</v>
      </c>
    </row>
    <row r="33" spans="1:38" ht="12.75">
      <c r="A33" s="121" t="s">
        <v>24</v>
      </c>
      <c r="B33" s="1" t="s">
        <v>207</v>
      </c>
      <c r="C33" s="98" t="s">
        <v>827</v>
      </c>
      <c r="D33" s="1" t="s">
        <v>539</v>
      </c>
      <c r="E33" s="6">
        <v>138.31</v>
      </c>
      <c r="F33" s="22">
        <v>0</v>
      </c>
      <c r="G33" s="18">
        <f t="shared" si="11"/>
        <v>0</v>
      </c>
      <c r="H33" s="6">
        <v>0</v>
      </c>
      <c r="I33" s="6">
        <f t="shared" si="6"/>
        <v>0</v>
      </c>
      <c r="J33" s="6"/>
      <c r="K33" s="15"/>
      <c r="L33" s="15"/>
      <c r="M33" s="15"/>
      <c r="N33" s="15"/>
      <c r="O33" s="15"/>
      <c r="P33" s="15"/>
      <c r="Q33" s="15"/>
      <c r="R33" s="15"/>
      <c r="S33" s="15"/>
      <c r="U33" s="6">
        <f>IF(Y33=0,#REF!,0)</f>
        <v>0</v>
      </c>
      <c r="V33" s="6">
        <f>IF(Y33=15,#REF!,0)</f>
        <v>0</v>
      </c>
      <c r="W33" s="6" t="e">
        <f>IF(Y33=21,#REF!,0)</f>
        <v>#REF!</v>
      </c>
      <c r="Y33" s="10">
        <v>21</v>
      </c>
      <c r="Z33" s="10">
        <f t="shared" si="7"/>
        <v>0</v>
      </c>
      <c r="AA33" s="10">
        <f t="shared" si="8"/>
        <v>0</v>
      </c>
      <c r="AH33" s="10">
        <f t="shared" si="9"/>
        <v>0</v>
      </c>
      <c r="AI33" s="10">
        <f t="shared" si="10"/>
        <v>0</v>
      </c>
      <c r="AJ33" s="11" t="s">
        <v>567</v>
      </c>
      <c r="AK33" s="11" t="s">
        <v>600</v>
      </c>
      <c r="AL33" s="9" t="s">
        <v>612</v>
      </c>
    </row>
    <row r="34" spans="1:32" ht="12.75">
      <c r="A34" s="68"/>
      <c r="B34" s="5" t="s">
        <v>17</v>
      </c>
      <c r="C34" s="480" t="s">
        <v>356</v>
      </c>
      <c r="D34" s="481"/>
      <c r="E34" s="481"/>
      <c r="F34" s="481"/>
      <c r="G34" s="19">
        <f>SUM(G35:G38)</f>
        <v>0</v>
      </c>
      <c r="H34" s="9"/>
      <c r="I34" s="13">
        <f>SUM(I35:I38)</f>
        <v>4.016</v>
      </c>
      <c r="J34" s="15"/>
      <c r="K34" s="13">
        <f>IF(L34="PR",#REF!,SUM(J35:J38))</f>
        <v>0</v>
      </c>
      <c r="L34" s="9" t="s">
        <v>556</v>
      </c>
      <c r="M34" s="13" t="e">
        <f>IF(L34="HS",#REF!,0)</f>
        <v>#REF!</v>
      </c>
      <c r="N34" s="13">
        <f>IF(L34="HS",G34-K34,0)</f>
        <v>0</v>
      </c>
      <c r="O34" s="13">
        <f>IF(L34="PS",#REF!,0)</f>
        <v>0</v>
      </c>
      <c r="P34" s="13">
        <f>IF(L34="PS",G34-K34,0)</f>
        <v>0</v>
      </c>
      <c r="Q34" s="13">
        <f>IF(L34="MP",#REF!,0)</f>
        <v>0</v>
      </c>
      <c r="R34" s="13">
        <f>IF(L34="MP",G34-K34,0)</f>
        <v>0</v>
      </c>
      <c r="S34" s="13">
        <f>IF(L34="OM",#REF!,0)</f>
        <v>0</v>
      </c>
      <c r="T34" s="9"/>
      <c r="AD34" s="13">
        <f>SUM(U35:U38)</f>
        <v>0</v>
      </c>
      <c r="AE34" s="13">
        <f>SUM(V35:V38)</f>
        <v>0</v>
      </c>
      <c r="AF34" s="13" t="e">
        <f>SUM(W35:W38)</f>
        <v>#REF!</v>
      </c>
    </row>
    <row r="35" spans="1:38" ht="12.75">
      <c r="A35" s="121" t="s">
        <v>25</v>
      </c>
      <c r="B35" s="1" t="s">
        <v>208</v>
      </c>
      <c r="C35" s="1" t="s">
        <v>357</v>
      </c>
      <c r="D35" s="1" t="s">
        <v>539</v>
      </c>
      <c r="E35" s="6">
        <v>0.64</v>
      </c>
      <c r="F35" s="22">
        <v>0</v>
      </c>
      <c r="G35" s="18">
        <f t="shared" si="11"/>
        <v>0</v>
      </c>
      <c r="H35" s="6">
        <v>0</v>
      </c>
      <c r="I35" s="6">
        <f>E35*H35</f>
        <v>0</v>
      </c>
      <c r="J35" s="6"/>
      <c r="K35" s="15"/>
      <c r="L35" s="15"/>
      <c r="M35" s="15"/>
      <c r="N35" s="15"/>
      <c r="O35" s="15"/>
      <c r="P35" s="15"/>
      <c r="Q35" s="15"/>
      <c r="R35" s="15"/>
      <c r="S35" s="15"/>
      <c r="U35" s="6">
        <f>IF(Y35=0,#REF!,0)</f>
        <v>0</v>
      </c>
      <c r="V35" s="6">
        <f>IF(Y35=15,#REF!,0)</f>
        <v>0</v>
      </c>
      <c r="W35" s="6" t="e">
        <f>IF(Y35=21,#REF!,0)</f>
        <v>#REF!</v>
      </c>
      <c r="Y35" s="10">
        <v>21</v>
      </c>
      <c r="Z35" s="10">
        <f>F35*0</f>
        <v>0</v>
      </c>
      <c r="AA35" s="10">
        <f>F35*(1-0)</f>
        <v>0</v>
      </c>
      <c r="AH35" s="10">
        <f>E35*Z35</f>
        <v>0</v>
      </c>
      <c r="AI35" s="10">
        <f>E35*AA35</f>
        <v>0</v>
      </c>
      <c r="AJ35" s="11" t="s">
        <v>568</v>
      </c>
      <c r="AK35" s="11" t="s">
        <v>600</v>
      </c>
      <c r="AL35" s="9" t="s">
        <v>612</v>
      </c>
    </row>
    <row r="36" spans="1:38" s="252" customFormat="1" ht="12.75">
      <c r="A36" s="122" t="s">
        <v>26</v>
      </c>
      <c r="B36" s="2" t="s">
        <v>209</v>
      </c>
      <c r="C36" s="2" t="s">
        <v>963</v>
      </c>
      <c r="D36" s="2" t="s">
        <v>542</v>
      </c>
      <c r="E36" s="7">
        <v>1.16</v>
      </c>
      <c r="F36" s="22">
        <v>0</v>
      </c>
      <c r="G36" s="18">
        <f t="shared" si="11"/>
        <v>0</v>
      </c>
      <c r="H36" s="7">
        <v>1</v>
      </c>
      <c r="I36" s="7">
        <f>E36*H36</f>
        <v>1.16</v>
      </c>
      <c r="J36" s="7"/>
      <c r="K36" s="251"/>
      <c r="L36" s="251"/>
      <c r="M36" s="251"/>
      <c r="N36" s="251"/>
      <c r="O36" s="251"/>
      <c r="P36" s="251"/>
      <c r="Q36" s="251"/>
      <c r="R36" s="251"/>
      <c r="S36" s="251"/>
      <c r="U36" s="7">
        <f>IF(Y36=0,#REF!,0)</f>
        <v>0</v>
      </c>
      <c r="V36" s="7">
        <f>IF(Y36=15,#REF!,0)</f>
        <v>0</v>
      </c>
      <c r="W36" s="7" t="e">
        <f>IF(Y36=21,#REF!,0)</f>
        <v>#REF!</v>
      </c>
      <c r="Y36" s="10">
        <v>21</v>
      </c>
      <c r="Z36" s="10">
        <f>F36*1</f>
        <v>0</v>
      </c>
      <c r="AA36" s="10">
        <f>F36*(1-1)</f>
        <v>0</v>
      </c>
      <c r="AH36" s="10">
        <f>E36*Z36</f>
        <v>0</v>
      </c>
      <c r="AI36" s="10">
        <f>E36*AA36</f>
        <v>0</v>
      </c>
      <c r="AJ36" s="11" t="s">
        <v>568</v>
      </c>
      <c r="AK36" s="11" t="s">
        <v>600</v>
      </c>
      <c r="AL36" s="253" t="s">
        <v>612</v>
      </c>
    </row>
    <row r="37" spans="1:38" ht="12.75">
      <c r="A37" s="121" t="s">
        <v>27</v>
      </c>
      <c r="B37" s="1" t="s">
        <v>210</v>
      </c>
      <c r="C37" s="1" t="s">
        <v>358</v>
      </c>
      <c r="D37" s="1" t="s">
        <v>539</v>
      </c>
      <c r="E37" s="6">
        <v>17.85</v>
      </c>
      <c r="F37" s="22">
        <v>0</v>
      </c>
      <c r="G37" s="18">
        <f t="shared" si="11"/>
        <v>0</v>
      </c>
      <c r="H37" s="6">
        <v>0</v>
      </c>
      <c r="I37" s="6">
        <f>E37*H37</f>
        <v>0</v>
      </c>
      <c r="J37" s="6"/>
      <c r="K37" s="15"/>
      <c r="L37" s="15"/>
      <c r="M37" s="15"/>
      <c r="N37" s="15"/>
      <c r="O37" s="15"/>
      <c r="P37" s="15"/>
      <c r="Q37" s="15"/>
      <c r="R37" s="15"/>
      <c r="S37" s="15"/>
      <c r="U37" s="6">
        <f>IF(Y37=0,#REF!,0)</f>
        <v>0</v>
      </c>
      <c r="V37" s="6">
        <f>IF(Y37=15,#REF!,0)</f>
        <v>0</v>
      </c>
      <c r="W37" s="6" t="e">
        <f>IF(Y37=21,#REF!,0)</f>
        <v>#REF!</v>
      </c>
      <c r="Y37" s="10">
        <v>21</v>
      </c>
      <c r="Z37" s="10">
        <f>F37*0</f>
        <v>0</v>
      </c>
      <c r="AA37" s="10">
        <f>F37*(1-0)</f>
        <v>0</v>
      </c>
      <c r="AH37" s="10">
        <f>E37*Z37</f>
        <v>0</v>
      </c>
      <c r="AI37" s="10">
        <f>E37*AA37</f>
        <v>0</v>
      </c>
      <c r="AJ37" s="11" t="s">
        <v>568</v>
      </c>
      <c r="AK37" s="11" t="s">
        <v>600</v>
      </c>
      <c r="AL37" s="9" t="s">
        <v>612</v>
      </c>
    </row>
    <row r="38" spans="1:38" ht="12.75">
      <c r="A38" s="122" t="s">
        <v>28</v>
      </c>
      <c r="B38" s="2" t="s">
        <v>211</v>
      </c>
      <c r="C38" s="119" t="s">
        <v>870</v>
      </c>
      <c r="D38" s="2" t="s">
        <v>539</v>
      </c>
      <c r="E38" s="7">
        <v>17.85</v>
      </c>
      <c r="F38" s="22">
        <v>0</v>
      </c>
      <c r="G38" s="18">
        <f t="shared" si="11"/>
        <v>0</v>
      </c>
      <c r="H38" s="7">
        <v>0.16</v>
      </c>
      <c r="I38" s="7">
        <f>E38*H38</f>
        <v>2.8560000000000003</v>
      </c>
      <c r="J38" s="7"/>
      <c r="K38" s="15"/>
      <c r="L38" s="15"/>
      <c r="M38" s="15"/>
      <c r="N38" s="15"/>
      <c r="O38" s="15"/>
      <c r="P38" s="15"/>
      <c r="Q38" s="15"/>
      <c r="R38" s="15"/>
      <c r="S38" s="15"/>
      <c r="U38" s="7">
        <f>IF(Y38=0,#REF!,0)</f>
        <v>0</v>
      </c>
      <c r="V38" s="7">
        <f>IF(Y38=15,#REF!,0)</f>
        <v>0</v>
      </c>
      <c r="W38" s="7" t="e">
        <f>IF(Y38=21,#REF!,0)</f>
        <v>#REF!</v>
      </c>
      <c r="Y38" s="10">
        <v>21</v>
      </c>
      <c r="Z38" s="10">
        <f>F38*1</f>
        <v>0</v>
      </c>
      <c r="AA38" s="10">
        <f>F38*(1-1)</f>
        <v>0</v>
      </c>
      <c r="AH38" s="10">
        <f>E38*Z38</f>
        <v>0</v>
      </c>
      <c r="AI38" s="10">
        <f>E38*AA38</f>
        <v>0</v>
      </c>
      <c r="AJ38" s="11" t="s">
        <v>568</v>
      </c>
      <c r="AK38" s="11" t="s">
        <v>600</v>
      </c>
      <c r="AL38" s="9" t="s">
        <v>612</v>
      </c>
    </row>
    <row r="39" spans="1:32" ht="12.75">
      <c r="A39" s="68"/>
      <c r="B39" s="5" t="s">
        <v>21</v>
      </c>
      <c r="C39" s="480" t="s">
        <v>359</v>
      </c>
      <c r="D39" s="481"/>
      <c r="E39" s="481"/>
      <c r="F39" s="481"/>
      <c r="G39" s="19">
        <f>SUM(G40:G40)</f>
        <v>0</v>
      </c>
      <c r="H39" s="9"/>
      <c r="I39" s="13">
        <f>SUM(I40:I40)</f>
        <v>8.093588</v>
      </c>
      <c r="J39" s="15"/>
      <c r="K39" s="13">
        <f>IF(L39="PR",#REF!,SUM(J40:J40))</f>
        <v>0</v>
      </c>
      <c r="L39" s="9" t="s">
        <v>556</v>
      </c>
      <c r="M39" s="13" t="e">
        <f>IF(L39="HS",#REF!,0)</f>
        <v>#REF!</v>
      </c>
      <c r="N39" s="13">
        <f>IF(L39="HS",G39-K39,0)</f>
        <v>0</v>
      </c>
      <c r="O39" s="13">
        <f>IF(L39="PS",#REF!,0)</f>
        <v>0</v>
      </c>
      <c r="P39" s="13">
        <f>IF(L39="PS",G39-K39,0)</f>
        <v>0</v>
      </c>
      <c r="Q39" s="13">
        <f>IF(L39="MP",#REF!,0)</f>
        <v>0</v>
      </c>
      <c r="R39" s="13">
        <f>IF(L39="MP",G39-K39,0)</f>
        <v>0</v>
      </c>
      <c r="S39" s="13">
        <f>IF(L39="OM",#REF!,0)</f>
        <v>0</v>
      </c>
      <c r="T39" s="9"/>
      <c r="AD39" s="13">
        <f>SUM(U40:U40)</f>
        <v>0</v>
      </c>
      <c r="AE39" s="13">
        <f>SUM(V40:V40)</f>
        <v>0</v>
      </c>
      <c r="AF39" s="13" t="e">
        <f>SUM(W40:W40)</f>
        <v>#REF!</v>
      </c>
    </row>
    <row r="40" spans="1:38" ht="12.75">
      <c r="A40" s="121" t="s">
        <v>29</v>
      </c>
      <c r="B40" s="1" t="s">
        <v>212</v>
      </c>
      <c r="C40" s="1" t="s">
        <v>360</v>
      </c>
      <c r="D40" s="1" t="s">
        <v>541</v>
      </c>
      <c r="E40" s="6">
        <v>18.8</v>
      </c>
      <c r="F40" s="22">
        <v>0</v>
      </c>
      <c r="G40" s="18">
        <f>E40*F40</f>
        <v>0</v>
      </c>
      <c r="H40" s="6">
        <v>0.43051</v>
      </c>
      <c r="I40" s="6">
        <f>E40*H40</f>
        <v>8.093588</v>
      </c>
      <c r="J40" s="6"/>
      <c r="K40" s="15"/>
      <c r="L40" s="15"/>
      <c r="M40" s="15"/>
      <c r="N40" s="15"/>
      <c r="O40" s="15"/>
      <c r="P40" s="15"/>
      <c r="Q40" s="15"/>
      <c r="R40" s="15"/>
      <c r="S40" s="15"/>
      <c r="U40" s="6">
        <f>IF(Y40=0,#REF!,0)</f>
        <v>0</v>
      </c>
      <c r="V40" s="6">
        <f>IF(Y40=15,#REF!,0)</f>
        <v>0</v>
      </c>
      <c r="W40" s="6" t="e">
        <f>IF(Y40=21,#REF!,0)</f>
        <v>#REF!</v>
      </c>
      <c r="Y40" s="10">
        <v>21</v>
      </c>
      <c r="Z40" s="10">
        <f>F40*0.397851500789889</f>
        <v>0</v>
      </c>
      <c r="AA40" s="10">
        <f>F40*(1-0.397851500789889)</f>
        <v>0</v>
      </c>
      <c r="AH40" s="10">
        <f>E40*Z40</f>
        <v>0</v>
      </c>
      <c r="AI40" s="10">
        <f>E40*AA40</f>
        <v>0</v>
      </c>
      <c r="AJ40" s="11" t="s">
        <v>569</v>
      </c>
      <c r="AK40" s="11" t="s">
        <v>601</v>
      </c>
      <c r="AL40" s="9" t="s">
        <v>612</v>
      </c>
    </row>
    <row r="41" spans="1:32" ht="12.75">
      <c r="A41" s="68"/>
      <c r="B41" s="5" t="s">
        <v>27</v>
      </c>
      <c r="C41" s="480" t="s">
        <v>361</v>
      </c>
      <c r="D41" s="481"/>
      <c r="E41" s="481"/>
      <c r="F41" s="481"/>
      <c r="G41" s="19">
        <f>SUM(G42:G49)</f>
        <v>0</v>
      </c>
      <c r="H41" s="9"/>
      <c r="I41" s="13">
        <f>SUM(I42:I49)</f>
        <v>17.9126776</v>
      </c>
      <c r="J41" s="15"/>
      <c r="K41" s="13">
        <f>IF(L41="PR",#REF!,SUM(J42:J47))</f>
        <v>0</v>
      </c>
      <c r="L41" s="9" t="s">
        <v>556</v>
      </c>
      <c r="M41" s="13" t="e">
        <f>IF(L41="HS",#REF!,0)</f>
        <v>#REF!</v>
      </c>
      <c r="N41" s="13">
        <f>IF(L41="HS",G41-K41,0)</f>
        <v>0</v>
      </c>
      <c r="O41" s="13">
        <f>IF(L41="PS",#REF!,0)</f>
        <v>0</v>
      </c>
      <c r="P41" s="13">
        <f>IF(L41="PS",G41-K41,0)</f>
        <v>0</v>
      </c>
      <c r="Q41" s="13">
        <f>IF(L41="MP",#REF!,0)</f>
        <v>0</v>
      </c>
      <c r="R41" s="13">
        <f>IF(L41="MP",G41-K41,0)</f>
        <v>0</v>
      </c>
      <c r="S41" s="13">
        <f>IF(L41="OM",#REF!,0)</f>
        <v>0</v>
      </c>
      <c r="T41" s="9"/>
      <c r="AD41" s="13">
        <f>SUM(U42:U47)</f>
        <v>0</v>
      </c>
      <c r="AE41" s="13">
        <f>SUM(V42:V47)</f>
        <v>0</v>
      </c>
      <c r="AF41" s="13" t="e">
        <f>SUM(W42:W47)</f>
        <v>#REF!</v>
      </c>
    </row>
    <row r="42" spans="1:38" ht="12.75">
      <c r="A42" s="121" t="s">
        <v>30</v>
      </c>
      <c r="B42" s="1" t="s">
        <v>213</v>
      </c>
      <c r="C42" s="1" t="s">
        <v>362</v>
      </c>
      <c r="D42" s="1" t="s">
        <v>539</v>
      </c>
      <c r="E42" s="6">
        <v>0.45</v>
      </c>
      <c r="F42" s="22">
        <v>0</v>
      </c>
      <c r="G42" s="18">
        <f aca="true" t="shared" si="12" ref="G42:G49">E42*F42</f>
        <v>0</v>
      </c>
      <c r="H42" s="6">
        <v>2.525</v>
      </c>
      <c r="I42" s="6">
        <f aca="true" t="shared" si="13" ref="I42:I49">E42*H42</f>
        <v>1.13625</v>
      </c>
      <c r="J42" s="6"/>
      <c r="K42" s="15"/>
      <c r="L42" s="15"/>
      <c r="M42" s="15"/>
      <c r="N42" s="15"/>
      <c r="O42" s="15"/>
      <c r="P42" s="15"/>
      <c r="Q42" s="15"/>
      <c r="R42" s="15"/>
      <c r="S42" s="15"/>
      <c r="U42" s="6">
        <f>IF(Y42=0,#REF!,0)</f>
        <v>0</v>
      </c>
      <c r="V42" s="6">
        <f>IF(Y42=15,#REF!,0)</f>
        <v>0</v>
      </c>
      <c r="W42" s="6" t="e">
        <f>IF(Y42=21,#REF!,0)</f>
        <v>#REF!</v>
      </c>
      <c r="Y42" s="10">
        <v>21</v>
      </c>
      <c r="Z42" s="10">
        <f>F42*0.914058206371048</f>
        <v>0</v>
      </c>
      <c r="AA42" s="10">
        <f>F42*(1-0.914058206371048)</f>
        <v>0</v>
      </c>
      <c r="AH42" s="10">
        <f aca="true" t="shared" si="14" ref="AH42:AH47">E42*Z42</f>
        <v>0</v>
      </c>
      <c r="AI42" s="10">
        <f aca="true" t="shared" si="15" ref="AI42:AI47">E42*AA42</f>
        <v>0</v>
      </c>
      <c r="AJ42" s="11" t="s">
        <v>570</v>
      </c>
      <c r="AK42" s="11" t="s">
        <v>601</v>
      </c>
      <c r="AL42" s="9" t="s">
        <v>612</v>
      </c>
    </row>
    <row r="43" spans="1:38" ht="12.75">
      <c r="A43" s="121" t="s">
        <v>31</v>
      </c>
      <c r="B43" s="1" t="s">
        <v>213</v>
      </c>
      <c r="C43" s="1" t="s">
        <v>363</v>
      </c>
      <c r="D43" s="1" t="s">
        <v>539</v>
      </c>
      <c r="E43" s="6">
        <v>0.04</v>
      </c>
      <c r="F43" s="22">
        <v>0</v>
      </c>
      <c r="G43" s="18">
        <f t="shared" si="12"/>
        <v>0</v>
      </c>
      <c r="H43" s="6">
        <v>2.525</v>
      </c>
      <c r="I43" s="6">
        <f t="shared" si="13"/>
        <v>0.10099999999999999</v>
      </c>
      <c r="J43" s="6"/>
      <c r="K43" s="15"/>
      <c r="L43" s="15"/>
      <c r="M43" s="15"/>
      <c r="N43" s="15"/>
      <c r="O43" s="15"/>
      <c r="P43" s="15"/>
      <c r="Q43" s="15"/>
      <c r="R43" s="15"/>
      <c r="S43" s="15"/>
      <c r="U43" s="6">
        <f>IF(Y43=0,#REF!,0)</f>
        <v>0</v>
      </c>
      <c r="V43" s="6">
        <f>IF(Y43=15,#REF!,0)</f>
        <v>0</v>
      </c>
      <c r="W43" s="6" t="e">
        <f>IF(Y43=21,#REF!,0)</f>
        <v>#REF!</v>
      </c>
      <c r="Y43" s="10">
        <v>21</v>
      </c>
      <c r="Z43" s="10">
        <f>F43*0.914058206371048</f>
        <v>0</v>
      </c>
      <c r="AA43" s="10">
        <f>F43*(1-0.914058206371048)</f>
        <v>0</v>
      </c>
      <c r="AH43" s="10">
        <f t="shared" si="14"/>
        <v>0</v>
      </c>
      <c r="AI43" s="10">
        <f t="shared" si="15"/>
        <v>0</v>
      </c>
      <c r="AJ43" s="11" t="s">
        <v>570</v>
      </c>
      <c r="AK43" s="11" t="s">
        <v>601</v>
      </c>
      <c r="AL43" s="9" t="s">
        <v>612</v>
      </c>
    </row>
    <row r="44" spans="1:38" ht="12.75">
      <c r="A44" s="121" t="s">
        <v>32</v>
      </c>
      <c r="B44" s="1" t="s">
        <v>213</v>
      </c>
      <c r="C44" s="1" t="s">
        <v>364</v>
      </c>
      <c r="D44" s="1" t="s">
        <v>539</v>
      </c>
      <c r="E44" s="6">
        <v>2.28</v>
      </c>
      <c r="F44" s="22">
        <v>0</v>
      </c>
      <c r="G44" s="18">
        <f t="shared" si="12"/>
        <v>0</v>
      </c>
      <c r="H44" s="6">
        <v>2.525</v>
      </c>
      <c r="I44" s="6">
        <f t="shared" si="13"/>
        <v>5.757</v>
      </c>
      <c r="J44" s="6"/>
      <c r="K44" s="15"/>
      <c r="L44" s="15"/>
      <c r="M44" s="15"/>
      <c r="N44" s="15"/>
      <c r="O44" s="15"/>
      <c r="P44" s="15"/>
      <c r="Q44" s="15"/>
      <c r="R44" s="15"/>
      <c r="S44" s="15"/>
      <c r="U44" s="6">
        <f>IF(Y44=0,#REF!,0)</f>
        <v>0</v>
      </c>
      <c r="V44" s="6">
        <f>IF(Y44=15,#REF!,0)</f>
        <v>0</v>
      </c>
      <c r="W44" s="6" t="e">
        <f>IF(Y44=21,#REF!,0)</f>
        <v>#REF!</v>
      </c>
      <c r="Y44" s="10">
        <v>21</v>
      </c>
      <c r="Z44" s="10">
        <f>F44*0.914058206371048</f>
        <v>0</v>
      </c>
      <c r="AA44" s="10">
        <f>F44*(1-0.914058206371048)</f>
        <v>0</v>
      </c>
      <c r="AH44" s="10">
        <f t="shared" si="14"/>
        <v>0</v>
      </c>
      <c r="AI44" s="10">
        <f t="shared" si="15"/>
        <v>0</v>
      </c>
      <c r="AJ44" s="11" t="s">
        <v>570</v>
      </c>
      <c r="AK44" s="11" t="s">
        <v>601</v>
      </c>
      <c r="AL44" s="9" t="s">
        <v>612</v>
      </c>
    </row>
    <row r="45" spans="1:38" ht="12.75">
      <c r="A45" s="121" t="s">
        <v>33</v>
      </c>
      <c r="B45" s="1" t="s">
        <v>213</v>
      </c>
      <c r="C45" s="1" t="s">
        <v>365</v>
      </c>
      <c r="D45" s="1" t="s">
        <v>539</v>
      </c>
      <c r="E45" s="6">
        <v>0.18</v>
      </c>
      <c r="F45" s="22">
        <v>0</v>
      </c>
      <c r="G45" s="18">
        <f t="shared" si="12"/>
        <v>0</v>
      </c>
      <c r="H45" s="6">
        <v>2.525</v>
      </c>
      <c r="I45" s="6">
        <f t="shared" si="13"/>
        <v>0.45449999999999996</v>
      </c>
      <c r="J45" s="6"/>
      <c r="K45" s="15"/>
      <c r="L45" s="15"/>
      <c r="M45" s="15"/>
      <c r="N45" s="15"/>
      <c r="O45" s="15"/>
      <c r="P45" s="15"/>
      <c r="Q45" s="15"/>
      <c r="R45" s="15"/>
      <c r="S45" s="15"/>
      <c r="U45" s="6">
        <f>IF(Y45=0,#REF!,0)</f>
        <v>0</v>
      </c>
      <c r="V45" s="6">
        <f>IF(Y45=15,#REF!,0)</f>
        <v>0</v>
      </c>
      <c r="W45" s="6" t="e">
        <f>IF(Y45=21,#REF!,0)</f>
        <v>#REF!</v>
      </c>
      <c r="Y45" s="10">
        <v>21</v>
      </c>
      <c r="Z45" s="10">
        <f>F45*0.914058206371048</f>
        <v>0</v>
      </c>
      <c r="AA45" s="10">
        <f>F45*(1-0.914058206371048)</f>
        <v>0</v>
      </c>
      <c r="AH45" s="10">
        <f t="shared" si="14"/>
        <v>0</v>
      </c>
      <c r="AI45" s="10">
        <f t="shared" si="15"/>
        <v>0</v>
      </c>
      <c r="AJ45" s="11" t="s">
        <v>570</v>
      </c>
      <c r="AK45" s="11" t="s">
        <v>601</v>
      </c>
      <c r="AL45" s="9" t="s">
        <v>612</v>
      </c>
    </row>
    <row r="46" spans="1:38" ht="12.75">
      <c r="A46" s="121" t="s">
        <v>34</v>
      </c>
      <c r="B46" s="1" t="s">
        <v>214</v>
      </c>
      <c r="C46" s="1" t="s">
        <v>366</v>
      </c>
      <c r="D46" s="1" t="s">
        <v>540</v>
      </c>
      <c r="E46" s="6">
        <v>11.04</v>
      </c>
      <c r="F46" s="22">
        <v>0</v>
      </c>
      <c r="G46" s="18">
        <f t="shared" si="12"/>
        <v>0</v>
      </c>
      <c r="H46" s="6">
        <v>0.59</v>
      </c>
      <c r="I46" s="6">
        <f t="shared" si="13"/>
        <v>6.513599999999999</v>
      </c>
      <c r="J46" s="6"/>
      <c r="K46" s="15"/>
      <c r="L46" s="15"/>
      <c r="M46" s="15"/>
      <c r="N46" s="15"/>
      <c r="O46" s="15"/>
      <c r="P46" s="15"/>
      <c r="Q46" s="15"/>
      <c r="R46" s="15"/>
      <c r="S46" s="15"/>
      <c r="U46" s="6">
        <f>IF(Y46=0,#REF!,0)</f>
        <v>0</v>
      </c>
      <c r="V46" s="6">
        <f>IF(Y46=15,#REF!,0)</f>
        <v>0</v>
      </c>
      <c r="W46" s="6" t="e">
        <f>IF(Y46=21,#REF!,0)</f>
        <v>#REF!</v>
      </c>
      <c r="Y46" s="10">
        <v>21</v>
      </c>
      <c r="Z46" s="10">
        <f>F46*0.694363636363636</f>
        <v>0</v>
      </c>
      <c r="AA46" s="10">
        <f>F46*(1-0.694363636363636)</f>
        <v>0</v>
      </c>
      <c r="AH46" s="10">
        <f t="shared" si="14"/>
        <v>0</v>
      </c>
      <c r="AI46" s="10">
        <f t="shared" si="15"/>
        <v>0</v>
      </c>
      <c r="AJ46" s="11" t="s">
        <v>570</v>
      </c>
      <c r="AK46" s="11" t="s">
        <v>601</v>
      </c>
      <c r="AL46" s="9" t="s">
        <v>612</v>
      </c>
    </row>
    <row r="47" spans="1:38" ht="12.75">
      <c r="A47" s="121" t="s">
        <v>35</v>
      </c>
      <c r="B47" s="1" t="s">
        <v>215</v>
      </c>
      <c r="C47" s="1" t="s">
        <v>367</v>
      </c>
      <c r="D47" s="1" t="s">
        <v>542</v>
      </c>
      <c r="E47" s="6">
        <v>0.11</v>
      </c>
      <c r="F47" s="22">
        <v>0</v>
      </c>
      <c r="G47" s="18">
        <f t="shared" si="12"/>
        <v>0</v>
      </c>
      <c r="H47" s="6">
        <v>1.02116</v>
      </c>
      <c r="I47" s="6">
        <f t="shared" si="13"/>
        <v>0.11232760000000001</v>
      </c>
      <c r="J47" s="6"/>
      <c r="K47" s="15"/>
      <c r="L47" s="15"/>
      <c r="M47" s="15"/>
      <c r="N47" s="15"/>
      <c r="O47" s="15"/>
      <c r="P47" s="15"/>
      <c r="Q47" s="15"/>
      <c r="R47" s="15"/>
      <c r="S47" s="15"/>
      <c r="U47" s="6">
        <f>IF(Y47=0,#REF!,0)</f>
        <v>0</v>
      </c>
      <c r="V47" s="6">
        <f>IF(Y47=15,#REF!,0)</f>
        <v>0</v>
      </c>
      <c r="W47" s="6" t="e">
        <f>IF(Y47=21,#REF!,0)</f>
        <v>#REF!</v>
      </c>
      <c r="Y47" s="10">
        <v>21</v>
      </c>
      <c r="Z47" s="10">
        <f>F47*0.73155726128339</f>
        <v>0</v>
      </c>
      <c r="AA47" s="10">
        <f>F47*(1-0.73155726128339)</f>
        <v>0</v>
      </c>
      <c r="AH47" s="10">
        <f t="shared" si="14"/>
        <v>0</v>
      </c>
      <c r="AI47" s="10">
        <f t="shared" si="15"/>
        <v>0</v>
      </c>
      <c r="AJ47" s="11" t="s">
        <v>570</v>
      </c>
      <c r="AK47" s="11" t="s">
        <v>601</v>
      </c>
      <c r="AL47" s="9" t="s">
        <v>612</v>
      </c>
    </row>
    <row r="48" spans="1:38" ht="12.75">
      <c r="A48" s="121" t="s">
        <v>36</v>
      </c>
      <c r="B48" s="98" t="s">
        <v>213</v>
      </c>
      <c r="C48" s="98" t="s">
        <v>872</v>
      </c>
      <c r="D48" s="98" t="s">
        <v>539</v>
      </c>
      <c r="E48" s="6">
        <v>1.4</v>
      </c>
      <c r="F48" s="22">
        <v>0</v>
      </c>
      <c r="G48" s="18">
        <f t="shared" si="12"/>
        <v>0</v>
      </c>
      <c r="H48" s="6">
        <v>2.525</v>
      </c>
      <c r="I48" s="6">
        <f t="shared" si="13"/>
        <v>3.5349999999999997</v>
      </c>
      <c r="J48" s="6"/>
      <c r="K48" s="15"/>
      <c r="L48" s="15"/>
      <c r="M48" s="15"/>
      <c r="N48" s="15"/>
      <c r="O48" s="15"/>
      <c r="P48" s="15"/>
      <c r="Q48" s="15"/>
      <c r="R48" s="15"/>
      <c r="S48" s="15"/>
      <c r="U48" s="6"/>
      <c r="V48" s="6"/>
      <c r="W48" s="6"/>
      <c r="Y48" s="10"/>
      <c r="Z48" s="10"/>
      <c r="AA48" s="10"/>
      <c r="AH48" s="10"/>
      <c r="AI48" s="10"/>
      <c r="AJ48" s="11"/>
      <c r="AK48" s="11"/>
      <c r="AL48" s="9"/>
    </row>
    <row r="49" spans="1:38" ht="12.75">
      <c r="A49" s="121" t="s">
        <v>37</v>
      </c>
      <c r="B49" s="98" t="s">
        <v>213</v>
      </c>
      <c r="C49" s="98" t="s">
        <v>873</v>
      </c>
      <c r="D49" s="98" t="s">
        <v>539</v>
      </c>
      <c r="E49" s="6">
        <v>0.12</v>
      </c>
      <c r="F49" s="22">
        <v>0</v>
      </c>
      <c r="G49" s="18">
        <f t="shared" si="12"/>
        <v>0</v>
      </c>
      <c r="H49" s="6">
        <v>2.525</v>
      </c>
      <c r="I49" s="6">
        <f t="shared" si="13"/>
        <v>0.303</v>
      </c>
      <c r="J49" s="6"/>
      <c r="K49" s="15"/>
      <c r="L49" s="15"/>
      <c r="M49" s="15"/>
      <c r="N49" s="15"/>
      <c r="O49" s="15"/>
      <c r="P49" s="15"/>
      <c r="Q49" s="15"/>
      <c r="R49" s="15"/>
      <c r="S49" s="15"/>
      <c r="U49" s="6"/>
      <c r="V49" s="6"/>
      <c r="W49" s="6"/>
      <c r="Y49" s="10"/>
      <c r="Z49" s="10"/>
      <c r="AA49" s="10"/>
      <c r="AH49" s="10"/>
      <c r="AI49" s="10"/>
      <c r="AJ49" s="11"/>
      <c r="AK49" s="11"/>
      <c r="AL49" s="9"/>
    </row>
    <row r="50" spans="1:32" ht="12.75">
      <c r="A50" s="68"/>
      <c r="B50" s="5" t="s">
        <v>31</v>
      </c>
      <c r="C50" s="480" t="s">
        <v>368</v>
      </c>
      <c r="D50" s="481"/>
      <c r="E50" s="481"/>
      <c r="F50" s="481"/>
      <c r="G50" s="19">
        <f>SUM(G51:G55)</f>
        <v>0</v>
      </c>
      <c r="H50" s="9"/>
      <c r="I50" s="13">
        <f>SUM(I51:I55)</f>
        <v>15.749489999999998</v>
      </c>
      <c r="J50" s="15"/>
      <c r="K50" s="13">
        <f>IF(L50="PR",#REF!,SUM(J51:J55))</f>
        <v>0</v>
      </c>
      <c r="L50" s="9" t="s">
        <v>556</v>
      </c>
      <c r="M50" s="13" t="e">
        <f>IF(L50="HS",#REF!,0)</f>
        <v>#REF!</v>
      </c>
      <c r="N50" s="13">
        <f>IF(L50="HS",G50-K50,0)</f>
        <v>0</v>
      </c>
      <c r="O50" s="13">
        <f>IF(L50="PS",#REF!,0)</f>
        <v>0</v>
      </c>
      <c r="P50" s="13">
        <f>IF(L50="PS",G50-K50,0)</f>
        <v>0</v>
      </c>
      <c r="Q50" s="13">
        <f>IF(L50="MP",#REF!,0)</f>
        <v>0</v>
      </c>
      <c r="R50" s="13">
        <f>IF(L50="MP",G50-K50,0)</f>
        <v>0</v>
      </c>
      <c r="S50" s="13">
        <f>IF(L50="OM",#REF!,0)</f>
        <v>0</v>
      </c>
      <c r="T50" s="9"/>
      <c r="AD50" s="13">
        <f>SUM(U51:U55)</f>
        <v>0</v>
      </c>
      <c r="AE50" s="13">
        <f>SUM(V51:V55)</f>
        <v>0</v>
      </c>
      <c r="AF50" s="13" t="e">
        <f>SUM(W51:W55)</f>
        <v>#REF!</v>
      </c>
    </row>
    <row r="51" spans="1:38" ht="12.75">
      <c r="A51" s="121" t="s">
        <v>38</v>
      </c>
      <c r="B51" s="1" t="s">
        <v>216</v>
      </c>
      <c r="C51" s="1" t="s">
        <v>369</v>
      </c>
      <c r="D51" s="1" t="s">
        <v>541</v>
      </c>
      <c r="E51" s="6">
        <v>6.25</v>
      </c>
      <c r="F51" s="22">
        <v>0</v>
      </c>
      <c r="G51" s="18">
        <f>E51*F51</f>
        <v>0</v>
      </c>
      <c r="H51" s="6">
        <v>0.04636</v>
      </c>
      <c r="I51" s="6">
        <f>E51*H51</f>
        <v>0.28975</v>
      </c>
      <c r="J51" s="6"/>
      <c r="K51" s="15"/>
      <c r="L51" s="15"/>
      <c r="M51" s="15"/>
      <c r="N51" s="15"/>
      <c r="O51" s="15"/>
      <c r="P51" s="15"/>
      <c r="Q51" s="15"/>
      <c r="R51" s="15"/>
      <c r="S51" s="15"/>
      <c r="U51" s="6">
        <f>IF(Y51=0,#REF!,0)</f>
        <v>0</v>
      </c>
      <c r="V51" s="6">
        <f>IF(Y51=15,#REF!,0)</f>
        <v>0</v>
      </c>
      <c r="W51" s="6" t="e">
        <f>IF(Y51=21,#REF!,0)</f>
        <v>#REF!</v>
      </c>
      <c r="Y51" s="10">
        <v>21</v>
      </c>
      <c r="Z51" s="10">
        <f>F51*0.594935333115966</f>
        <v>0</v>
      </c>
      <c r="AA51" s="10">
        <f>F51*(1-0.594935333115966)</f>
        <v>0</v>
      </c>
      <c r="AH51" s="10">
        <f>E51*Z51</f>
        <v>0</v>
      </c>
      <c r="AI51" s="10">
        <f>E51*AA51</f>
        <v>0</v>
      </c>
      <c r="AJ51" s="11" t="s">
        <v>571</v>
      </c>
      <c r="AK51" s="11" t="s">
        <v>602</v>
      </c>
      <c r="AL51" s="9" t="s">
        <v>612</v>
      </c>
    </row>
    <row r="52" spans="1:38" ht="12.75">
      <c r="A52" s="121" t="s">
        <v>39</v>
      </c>
      <c r="B52" s="1" t="s">
        <v>217</v>
      </c>
      <c r="C52" s="98" t="s">
        <v>868</v>
      </c>
      <c r="D52" s="1" t="s">
        <v>540</v>
      </c>
      <c r="E52" s="6">
        <v>9.27</v>
      </c>
      <c r="F52" s="22">
        <v>0</v>
      </c>
      <c r="G52" s="18">
        <f>E52*F52</f>
        <v>0</v>
      </c>
      <c r="H52" s="6">
        <v>0.27595</v>
      </c>
      <c r="I52" s="6">
        <f>E52*H52</f>
        <v>2.5580564999999997</v>
      </c>
      <c r="J52" s="6"/>
      <c r="K52" s="15"/>
      <c r="L52" s="15"/>
      <c r="M52" s="15"/>
      <c r="N52" s="15"/>
      <c r="O52" s="15"/>
      <c r="P52" s="15"/>
      <c r="Q52" s="15"/>
      <c r="R52" s="15"/>
      <c r="S52" s="15"/>
      <c r="U52" s="6">
        <f>IF(Y52=0,#REF!,0)</f>
        <v>0</v>
      </c>
      <c r="V52" s="6">
        <f>IF(Y52=15,#REF!,0)</f>
        <v>0</v>
      </c>
      <c r="W52" s="6" t="e">
        <f>IF(Y52=21,#REF!,0)</f>
        <v>#REF!</v>
      </c>
      <c r="Y52" s="10">
        <v>21</v>
      </c>
      <c r="Z52" s="10">
        <f>F52*0.781080459770115</f>
        <v>0</v>
      </c>
      <c r="AA52" s="10">
        <f>F52*(1-0.781080459770115)</f>
        <v>0</v>
      </c>
      <c r="AH52" s="10">
        <f>E52*Z52</f>
        <v>0</v>
      </c>
      <c r="AI52" s="10">
        <f>E52*AA52</f>
        <v>0</v>
      </c>
      <c r="AJ52" s="11" t="s">
        <v>571</v>
      </c>
      <c r="AK52" s="11" t="s">
        <v>602</v>
      </c>
      <c r="AL52" s="9" t="s">
        <v>612</v>
      </c>
    </row>
    <row r="53" spans="1:38" ht="12.75">
      <c r="A53" s="121" t="s">
        <v>40</v>
      </c>
      <c r="B53" s="1" t="s">
        <v>217</v>
      </c>
      <c r="C53" s="98" t="s">
        <v>869</v>
      </c>
      <c r="D53" s="1" t="s">
        <v>540</v>
      </c>
      <c r="E53" s="6">
        <v>29.09</v>
      </c>
      <c r="F53" s="22">
        <v>0</v>
      </c>
      <c r="G53" s="18">
        <f>E53*F53</f>
        <v>0</v>
      </c>
      <c r="H53" s="6">
        <v>0.27595</v>
      </c>
      <c r="I53" s="6">
        <f>E53*H53</f>
        <v>8.0273855</v>
      </c>
      <c r="J53" s="6"/>
      <c r="K53" s="15"/>
      <c r="L53" s="15"/>
      <c r="M53" s="15"/>
      <c r="N53" s="15"/>
      <c r="O53" s="15"/>
      <c r="P53" s="15"/>
      <c r="Q53" s="15"/>
      <c r="R53" s="15"/>
      <c r="S53" s="15"/>
      <c r="U53" s="6">
        <f>IF(Y53=0,#REF!,0)</f>
        <v>0</v>
      </c>
      <c r="V53" s="6">
        <f>IF(Y53=15,#REF!,0)</f>
        <v>0</v>
      </c>
      <c r="W53" s="6" t="e">
        <f>IF(Y53=21,#REF!,0)</f>
        <v>#REF!</v>
      </c>
      <c r="Y53" s="10">
        <v>21</v>
      </c>
      <c r="Z53" s="10">
        <f>F53*0.781080459770115</f>
        <v>0</v>
      </c>
      <c r="AA53" s="10">
        <f>F53*(1-0.781080459770115)</f>
        <v>0</v>
      </c>
      <c r="AH53" s="10">
        <f>E53*Z53</f>
        <v>0</v>
      </c>
      <c r="AI53" s="10">
        <f>E53*AA53</f>
        <v>0</v>
      </c>
      <c r="AJ53" s="11" t="s">
        <v>571</v>
      </c>
      <c r="AK53" s="11" t="s">
        <v>602</v>
      </c>
      <c r="AL53" s="9" t="s">
        <v>612</v>
      </c>
    </row>
    <row r="54" spans="1:38" ht="12.75">
      <c r="A54" s="121" t="s">
        <v>41</v>
      </c>
      <c r="B54" s="1" t="s">
        <v>218</v>
      </c>
      <c r="C54" s="1" t="s">
        <v>370</v>
      </c>
      <c r="D54" s="1" t="s">
        <v>540</v>
      </c>
      <c r="E54" s="6">
        <v>0.6</v>
      </c>
      <c r="F54" s="22">
        <v>0</v>
      </c>
      <c r="G54" s="18">
        <f>E54*F54</f>
        <v>0</v>
      </c>
      <c r="H54" s="6">
        <v>0.58567</v>
      </c>
      <c r="I54" s="6">
        <f>E54*H54</f>
        <v>0.351402</v>
      </c>
      <c r="J54" s="6"/>
      <c r="K54" s="15"/>
      <c r="L54" s="15"/>
      <c r="M54" s="15"/>
      <c r="N54" s="15"/>
      <c r="O54" s="15"/>
      <c r="P54" s="15"/>
      <c r="Q54" s="15"/>
      <c r="R54" s="15"/>
      <c r="S54" s="15"/>
      <c r="U54" s="6">
        <f>IF(Y54=0,#REF!,0)</f>
        <v>0</v>
      </c>
      <c r="V54" s="6">
        <f>IF(Y54=15,#REF!,0)</f>
        <v>0</v>
      </c>
      <c r="W54" s="6" t="e">
        <f>IF(Y54=21,#REF!,0)</f>
        <v>#REF!</v>
      </c>
      <c r="Y54" s="10">
        <v>21</v>
      </c>
      <c r="Z54" s="10">
        <f>F54*0.501280508868268</f>
        <v>0</v>
      </c>
      <c r="AA54" s="10">
        <f>F54*(1-0.501280508868268)</f>
        <v>0</v>
      </c>
      <c r="AH54" s="10">
        <f>E54*Z54</f>
        <v>0</v>
      </c>
      <c r="AI54" s="10">
        <f>E54*AA54</f>
        <v>0</v>
      </c>
      <c r="AJ54" s="11" t="s">
        <v>571</v>
      </c>
      <c r="AK54" s="11" t="s">
        <v>602</v>
      </c>
      <c r="AL54" s="9" t="s">
        <v>612</v>
      </c>
    </row>
    <row r="55" spans="1:38" ht="12.75">
      <c r="A55" s="121" t="s">
        <v>42</v>
      </c>
      <c r="B55" s="1" t="s">
        <v>219</v>
      </c>
      <c r="C55" s="1" t="s">
        <v>371</v>
      </c>
      <c r="D55" s="1" t="s">
        <v>539</v>
      </c>
      <c r="E55" s="6">
        <v>1.68</v>
      </c>
      <c r="F55" s="22">
        <v>0</v>
      </c>
      <c r="G55" s="18">
        <f>E55*F55</f>
        <v>0</v>
      </c>
      <c r="H55" s="6">
        <v>2.6922</v>
      </c>
      <c r="I55" s="6">
        <f>E55*H55</f>
        <v>4.522896</v>
      </c>
      <c r="J55" s="6"/>
      <c r="K55" s="15"/>
      <c r="L55" s="15"/>
      <c r="M55" s="15"/>
      <c r="N55" s="15"/>
      <c r="O55" s="15"/>
      <c r="P55" s="15"/>
      <c r="Q55" s="15"/>
      <c r="R55" s="15"/>
      <c r="S55" s="15"/>
      <c r="U55" s="6">
        <f>IF(Y55=0,#REF!,0)</f>
        <v>0</v>
      </c>
      <c r="V55" s="6">
        <f>IF(Y55=15,#REF!,0)</f>
        <v>0</v>
      </c>
      <c r="W55" s="6" t="e">
        <f>IF(Y55=21,#REF!,0)</f>
        <v>#REF!</v>
      </c>
      <c r="Y55" s="10">
        <v>21</v>
      </c>
      <c r="Z55" s="10">
        <f>F55*0.523251727541955</f>
        <v>0</v>
      </c>
      <c r="AA55" s="10">
        <f>F55*(1-0.523251727541955)</f>
        <v>0</v>
      </c>
      <c r="AH55" s="10">
        <f>E55*Z55</f>
        <v>0</v>
      </c>
      <c r="AI55" s="10">
        <f>E55*AA55</f>
        <v>0</v>
      </c>
      <c r="AJ55" s="11" t="s">
        <v>571</v>
      </c>
      <c r="AK55" s="11" t="s">
        <v>602</v>
      </c>
      <c r="AL55" s="9" t="s">
        <v>612</v>
      </c>
    </row>
    <row r="56" spans="1:32" ht="12.75">
      <c r="A56" s="68"/>
      <c r="B56" s="5" t="s">
        <v>33</v>
      </c>
      <c r="C56" s="480" t="s">
        <v>372</v>
      </c>
      <c r="D56" s="481"/>
      <c r="E56" s="481"/>
      <c r="F56" s="481"/>
      <c r="G56" s="19">
        <f>SUM(G57:G57)</f>
        <v>0</v>
      </c>
      <c r="H56" s="9"/>
      <c r="I56" s="13">
        <f>SUM(I57:I57)</f>
        <v>1.386385</v>
      </c>
      <c r="J56" s="15"/>
      <c r="K56" s="13">
        <f>IF(L56="PR",#REF!,SUM(J57:J57))</f>
        <v>0</v>
      </c>
      <c r="L56" s="9" t="s">
        <v>556</v>
      </c>
      <c r="M56" s="13" t="e">
        <f>IF(L56="HS",#REF!,0)</f>
        <v>#REF!</v>
      </c>
      <c r="N56" s="13">
        <f>IF(L56="HS",G56-K56,0)</f>
        <v>0</v>
      </c>
      <c r="O56" s="13">
        <f>IF(L56="PS",#REF!,0)</f>
        <v>0</v>
      </c>
      <c r="P56" s="13">
        <f>IF(L56="PS",G56-K56,0)</f>
        <v>0</v>
      </c>
      <c r="Q56" s="13">
        <f>IF(L56="MP",#REF!,0)</f>
        <v>0</v>
      </c>
      <c r="R56" s="13">
        <f>IF(L56="MP",G56-K56,0)</f>
        <v>0</v>
      </c>
      <c r="S56" s="13">
        <f>IF(L56="OM",#REF!,0)</f>
        <v>0</v>
      </c>
      <c r="T56" s="9"/>
      <c r="AD56" s="13">
        <f>SUM(U57:U57)</f>
        <v>0</v>
      </c>
      <c r="AE56" s="13">
        <f>SUM(V57:V57)</f>
        <v>0</v>
      </c>
      <c r="AF56" s="13" t="e">
        <f>SUM(W57:W57)</f>
        <v>#REF!</v>
      </c>
    </row>
    <row r="57" spans="1:38" ht="12.75">
      <c r="A57" s="121" t="s">
        <v>43</v>
      </c>
      <c r="B57" s="1" t="s">
        <v>220</v>
      </c>
      <c r="C57" s="1" t="s">
        <v>373</v>
      </c>
      <c r="D57" s="1" t="s">
        <v>539</v>
      </c>
      <c r="E57" s="6">
        <v>0.77</v>
      </c>
      <c r="F57" s="22">
        <v>0</v>
      </c>
      <c r="G57" s="18">
        <f>E57*F57</f>
        <v>0</v>
      </c>
      <c r="H57" s="6">
        <v>1.8005</v>
      </c>
      <c r="I57" s="6">
        <f>E57*H57</f>
        <v>1.386385</v>
      </c>
      <c r="J57" s="6"/>
      <c r="K57" s="15"/>
      <c r="L57" s="15"/>
      <c r="M57" s="15"/>
      <c r="N57" s="15"/>
      <c r="O57" s="15"/>
      <c r="P57" s="15"/>
      <c r="Q57" s="15"/>
      <c r="R57" s="15"/>
      <c r="S57" s="15"/>
      <c r="U57" s="6">
        <f>IF(Y57=0,#REF!,0)</f>
        <v>0</v>
      </c>
      <c r="V57" s="6">
        <f>IF(Y57=15,#REF!,0)</f>
        <v>0</v>
      </c>
      <c r="W57" s="6" t="e">
        <f>IF(Y57=21,#REF!,0)</f>
        <v>#REF!</v>
      </c>
      <c r="Y57" s="10">
        <v>21</v>
      </c>
      <c r="Z57" s="10">
        <f>F57*0.678532548079031</f>
        <v>0</v>
      </c>
      <c r="AA57" s="10">
        <f>F57*(1-0.678532548079031)</f>
        <v>0</v>
      </c>
      <c r="AH57" s="10">
        <f>E57*Z57</f>
        <v>0</v>
      </c>
      <c r="AI57" s="10">
        <f>E57*AA57</f>
        <v>0</v>
      </c>
      <c r="AJ57" s="11" t="s">
        <v>572</v>
      </c>
      <c r="AK57" s="11" t="s">
        <v>602</v>
      </c>
      <c r="AL57" s="9" t="s">
        <v>612</v>
      </c>
    </row>
    <row r="58" spans="1:32" ht="12.75">
      <c r="A58" s="68"/>
      <c r="B58" s="5" t="s">
        <v>34</v>
      </c>
      <c r="C58" s="480" t="s">
        <v>374</v>
      </c>
      <c r="D58" s="481"/>
      <c r="E58" s="481"/>
      <c r="F58" s="481"/>
      <c r="G58" s="19">
        <f>SUM(G59:G61)</f>
        <v>0</v>
      </c>
      <c r="H58" s="9"/>
      <c r="I58" s="13">
        <f>SUM(I59:I61)</f>
        <v>0.947091</v>
      </c>
      <c r="J58" s="15"/>
      <c r="K58" s="13">
        <f>IF(L58="PR",#REF!,SUM(J59:J61))</f>
        <v>0</v>
      </c>
      <c r="L58" s="9" t="s">
        <v>556</v>
      </c>
      <c r="M58" s="13" t="e">
        <f>IF(L58="HS",#REF!,0)</f>
        <v>#REF!</v>
      </c>
      <c r="N58" s="13">
        <f>IF(L58="HS",G58-K58,0)</f>
        <v>0</v>
      </c>
      <c r="O58" s="13">
        <f>IF(L58="PS",#REF!,0)</f>
        <v>0</v>
      </c>
      <c r="P58" s="13">
        <f>IF(L58="PS",G58-K58,0)</f>
        <v>0</v>
      </c>
      <c r="Q58" s="13">
        <f>IF(L58="MP",#REF!,0)</f>
        <v>0</v>
      </c>
      <c r="R58" s="13">
        <f>IF(L58="MP",G58-K58,0)</f>
        <v>0</v>
      </c>
      <c r="S58" s="13">
        <f>IF(L58="OM",#REF!,0)</f>
        <v>0</v>
      </c>
      <c r="T58" s="9"/>
      <c r="AD58" s="13">
        <f>SUM(U59:U61)</f>
        <v>0</v>
      </c>
      <c r="AE58" s="13">
        <f>SUM(V59:V61)</f>
        <v>0</v>
      </c>
      <c r="AF58" s="13" t="e">
        <f>SUM(W59:W61)</f>
        <v>#REF!</v>
      </c>
    </row>
    <row r="59" spans="1:38" ht="12.75">
      <c r="A59" s="121" t="s">
        <v>44</v>
      </c>
      <c r="B59" s="1" t="s">
        <v>221</v>
      </c>
      <c r="C59" s="1" t="s">
        <v>375</v>
      </c>
      <c r="D59" s="1" t="s">
        <v>540</v>
      </c>
      <c r="E59" s="6">
        <v>0.57</v>
      </c>
      <c r="F59" s="22">
        <v>0</v>
      </c>
      <c r="G59" s="18">
        <f>E59*F59</f>
        <v>0</v>
      </c>
      <c r="H59" s="6">
        <v>0.2836</v>
      </c>
      <c r="I59" s="6">
        <f>E59*H59</f>
        <v>0.161652</v>
      </c>
      <c r="J59" s="6"/>
      <c r="K59" s="15"/>
      <c r="L59" s="15"/>
      <c r="M59" s="15"/>
      <c r="N59" s="15"/>
      <c r="O59" s="15"/>
      <c r="P59" s="15"/>
      <c r="Q59" s="15"/>
      <c r="R59" s="15"/>
      <c r="S59" s="15"/>
      <c r="U59" s="6">
        <f>IF(Y59=0,#REF!,0)</f>
        <v>0</v>
      </c>
      <c r="V59" s="6">
        <f>IF(Y59=15,#REF!,0)</f>
        <v>0</v>
      </c>
      <c r="W59" s="6" t="e">
        <f>IF(Y59=21,#REF!,0)</f>
        <v>#REF!</v>
      </c>
      <c r="Y59" s="10">
        <v>21</v>
      </c>
      <c r="Z59" s="10">
        <f>F59*0.467351768936794</f>
        <v>0</v>
      </c>
      <c r="AA59" s="10">
        <f>F59*(1-0.467351768936794)</f>
        <v>0</v>
      </c>
      <c r="AH59" s="10">
        <f>E59*Z59</f>
        <v>0</v>
      </c>
      <c r="AI59" s="10">
        <f>E59*AA59</f>
        <v>0</v>
      </c>
      <c r="AJ59" s="11" t="s">
        <v>573</v>
      </c>
      <c r="AK59" s="11" t="s">
        <v>602</v>
      </c>
      <c r="AL59" s="9" t="s">
        <v>612</v>
      </c>
    </row>
    <row r="60" spans="1:38" ht="12.75">
      <c r="A60" s="121" t="s">
        <v>45</v>
      </c>
      <c r="B60" s="1" t="s">
        <v>221</v>
      </c>
      <c r="C60" s="1" t="s">
        <v>376</v>
      </c>
      <c r="D60" s="1" t="s">
        <v>540</v>
      </c>
      <c r="E60" s="6">
        <v>0.36</v>
      </c>
      <c r="F60" s="22">
        <v>0</v>
      </c>
      <c r="G60" s="18">
        <f>E60*F60</f>
        <v>0</v>
      </c>
      <c r="H60" s="6">
        <v>0.2836</v>
      </c>
      <c r="I60" s="6">
        <f>E60*H60</f>
        <v>0.102096</v>
      </c>
      <c r="J60" s="6"/>
      <c r="K60" s="15"/>
      <c r="L60" s="15"/>
      <c r="M60" s="15"/>
      <c r="N60" s="15"/>
      <c r="O60" s="15"/>
      <c r="P60" s="15"/>
      <c r="Q60" s="15"/>
      <c r="R60" s="15"/>
      <c r="S60" s="15"/>
      <c r="U60" s="6">
        <f>IF(Y60=0,#REF!,0)</f>
        <v>0</v>
      </c>
      <c r="V60" s="6">
        <f>IF(Y60=15,#REF!,0)</f>
        <v>0</v>
      </c>
      <c r="W60" s="6" t="e">
        <f>IF(Y60=21,#REF!,0)</f>
        <v>#REF!</v>
      </c>
      <c r="Y60" s="10">
        <v>21</v>
      </c>
      <c r="Z60" s="10">
        <f>F60*0.467351768936794</f>
        <v>0</v>
      </c>
      <c r="AA60" s="10">
        <f>F60*(1-0.467351768936794)</f>
        <v>0</v>
      </c>
      <c r="AH60" s="10">
        <f>E60*Z60</f>
        <v>0</v>
      </c>
      <c r="AI60" s="10">
        <f>E60*AA60</f>
        <v>0</v>
      </c>
      <c r="AJ60" s="11" t="s">
        <v>573</v>
      </c>
      <c r="AK60" s="11" t="s">
        <v>602</v>
      </c>
      <c r="AL60" s="9" t="s">
        <v>612</v>
      </c>
    </row>
    <row r="61" spans="1:38" ht="12.75">
      <c r="A61" s="121" t="s">
        <v>46</v>
      </c>
      <c r="B61" s="1" t="s">
        <v>222</v>
      </c>
      <c r="C61" s="1" t="s">
        <v>377</v>
      </c>
      <c r="D61" s="1" t="s">
        <v>540</v>
      </c>
      <c r="E61" s="6">
        <v>1.35</v>
      </c>
      <c r="F61" s="22">
        <v>0</v>
      </c>
      <c r="G61" s="18">
        <f>E61*F61</f>
        <v>0</v>
      </c>
      <c r="H61" s="6">
        <v>0.50618</v>
      </c>
      <c r="I61" s="6">
        <f>E61*H61</f>
        <v>0.683343</v>
      </c>
      <c r="J61" s="6"/>
      <c r="K61" s="15"/>
      <c r="L61" s="15"/>
      <c r="M61" s="15"/>
      <c r="N61" s="15"/>
      <c r="O61" s="15"/>
      <c r="P61" s="15"/>
      <c r="Q61" s="15"/>
      <c r="R61" s="15"/>
      <c r="S61" s="15"/>
      <c r="U61" s="6">
        <f>IF(Y61=0,#REF!,0)</f>
        <v>0</v>
      </c>
      <c r="V61" s="6">
        <f>IF(Y61=15,#REF!,0)</f>
        <v>0</v>
      </c>
      <c r="W61" s="6" t="e">
        <f>IF(Y61=21,#REF!,0)</f>
        <v>#REF!</v>
      </c>
      <c r="Y61" s="10">
        <v>21</v>
      </c>
      <c r="Z61" s="10">
        <f>F61*0.524235377026075</f>
        <v>0</v>
      </c>
      <c r="AA61" s="10">
        <f>F61*(1-0.524235377026075)</f>
        <v>0</v>
      </c>
      <c r="AH61" s="10">
        <f>E61*Z61</f>
        <v>0</v>
      </c>
      <c r="AI61" s="10">
        <f>E61*AA61</f>
        <v>0</v>
      </c>
      <c r="AJ61" s="11" t="s">
        <v>573</v>
      </c>
      <c r="AK61" s="11" t="s">
        <v>602</v>
      </c>
      <c r="AL61" s="9" t="s">
        <v>612</v>
      </c>
    </row>
    <row r="62" spans="1:32" ht="12.75">
      <c r="A62" s="68"/>
      <c r="B62" s="5" t="s">
        <v>41</v>
      </c>
      <c r="C62" s="480" t="s">
        <v>378</v>
      </c>
      <c r="D62" s="481"/>
      <c r="E62" s="481"/>
      <c r="F62" s="481"/>
      <c r="G62" s="19">
        <f>SUM(G63:G95)</f>
        <v>0</v>
      </c>
      <c r="H62" s="9"/>
      <c r="I62" s="13">
        <f>SUM(I63:I95)</f>
        <v>10.992909683999999</v>
      </c>
      <c r="J62" s="15"/>
      <c r="K62" s="13">
        <f>IF(L62="PR",#REF!,SUM(J63:J95))</f>
        <v>0</v>
      </c>
      <c r="L62" s="9" t="s">
        <v>556</v>
      </c>
      <c r="M62" s="13" t="e">
        <f>IF(L62="HS",#REF!,0)</f>
        <v>#REF!</v>
      </c>
      <c r="N62" s="13">
        <f>IF(L62="HS",G62-K62,0)</f>
        <v>0</v>
      </c>
      <c r="O62" s="13">
        <f>IF(L62="PS",#REF!,0)</f>
        <v>0</v>
      </c>
      <c r="P62" s="13">
        <f>IF(L62="PS",G62-K62,0)</f>
        <v>0</v>
      </c>
      <c r="Q62" s="13">
        <f>IF(L62="MP",#REF!,0)</f>
        <v>0</v>
      </c>
      <c r="R62" s="13">
        <f>IF(L62="MP",G62-K62,0)</f>
        <v>0</v>
      </c>
      <c r="S62" s="13">
        <f>IF(L62="OM",#REF!,0)</f>
        <v>0</v>
      </c>
      <c r="T62" s="9"/>
      <c r="AD62" s="13">
        <f>SUM(U63:U95)</f>
        <v>0</v>
      </c>
      <c r="AE62" s="13">
        <f>SUM(V63:V95)</f>
        <v>0</v>
      </c>
      <c r="AF62" s="13" t="e">
        <f>SUM(W63:W95)</f>
        <v>#REF!</v>
      </c>
    </row>
    <row r="63" spans="1:38" ht="12.75">
      <c r="A63" s="121" t="s">
        <v>47</v>
      </c>
      <c r="B63" s="1" t="s">
        <v>223</v>
      </c>
      <c r="C63" s="1" t="s">
        <v>379</v>
      </c>
      <c r="D63" s="1" t="s">
        <v>540</v>
      </c>
      <c r="E63" s="6">
        <v>0.48</v>
      </c>
      <c r="F63" s="22">
        <v>0</v>
      </c>
      <c r="G63" s="18">
        <f aca="true" t="shared" si="16" ref="G63:G102">E63*F63</f>
        <v>0</v>
      </c>
      <c r="H63" s="6">
        <v>0.30659</v>
      </c>
      <c r="I63" s="6">
        <f aca="true" t="shared" si="17" ref="I63:I95">E63*H63</f>
        <v>0.1471632</v>
      </c>
      <c r="J63" s="6"/>
      <c r="K63" s="15"/>
      <c r="L63" s="15"/>
      <c r="M63" s="15"/>
      <c r="N63" s="15"/>
      <c r="O63" s="15"/>
      <c r="P63" s="15"/>
      <c r="Q63" s="15"/>
      <c r="R63" s="15"/>
      <c r="S63" s="15"/>
      <c r="U63" s="6">
        <f>IF(Y63=0,#REF!,0)</f>
        <v>0</v>
      </c>
      <c r="V63" s="6">
        <f>IF(Y63=15,#REF!,0)</f>
        <v>0</v>
      </c>
      <c r="W63" s="6" t="e">
        <f>IF(Y63=21,#REF!,0)</f>
        <v>#REF!</v>
      </c>
      <c r="Y63" s="10">
        <v>21</v>
      </c>
      <c r="Z63" s="10">
        <f>F63*0.412740014015417</f>
        <v>0</v>
      </c>
      <c r="AA63" s="10">
        <f>F63*(1-0.412740014015417)</f>
        <v>0</v>
      </c>
      <c r="AH63" s="10">
        <f aca="true" t="shared" si="18" ref="AH63:AH95">E63*Z63</f>
        <v>0</v>
      </c>
      <c r="AI63" s="10">
        <f aca="true" t="shared" si="19" ref="AI63:AI95">E63*AA63</f>
        <v>0</v>
      </c>
      <c r="AJ63" s="11" t="s">
        <v>574</v>
      </c>
      <c r="AK63" s="11" t="s">
        <v>603</v>
      </c>
      <c r="AL63" s="9" t="s">
        <v>612</v>
      </c>
    </row>
    <row r="64" spans="1:38" ht="12.75">
      <c r="A64" s="121" t="s">
        <v>48</v>
      </c>
      <c r="B64" s="1" t="s">
        <v>224</v>
      </c>
      <c r="C64" s="1" t="s">
        <v>380</v>
      </c>
      <c r="D64" s="1" t="s">
        <v>543</v>
      </c>
      <c r="E64" s="6">
        <v>4</v>
      </c>
      <c r="F64" s="22">
        <v>0</v>
      </c>
      <c r="G64" s="18">
        <f t="shared" si="16"/>
        <v>0</v>
      </c>
      <c r="H64" s="6">
        <v>0.0805</v>
      </c>
      <c r="I64" s="6">
        <f t="shared" si="17"/>
        <v>0.322</v>
      </c>
      <c r="J64" s="6"/>
      <c r="K64" s="15"/>
      <c r="L64" s="15"/>
      <c r="M64" s="15"/>
      <c r="N64" s="15"/>
      <c r="O64" s="15"/>
      <c r="P64" s="15"/>
      <c r="Q64" s="15"/>
      <c r="R64" s="15"/>
      <c r="S64" s="15"/>
      <c r="U64" s="6">
        <f>IF(Y64=0,#REF!,0)</f>
        <v>0</v>
      </c>
      <c r="V64" s="6">
        <f>IF(Y64=15,#REF!,0)</f>
        <v>0</v>
      </c>
      <c r="W64" s="6" t="e">
        <f>IF(Y64=21,#REF!,0)</f>
        <v>#REF!</v>
      </c>
      <c r="Y64" s="10">
        <v>21</v>
      </c>
      <c r="Z64" s="10">
        <f>F64*0.603197115384615</f>
        <v>0</v>
      </c>
      <c r="AA64" s="10">
        <f>F64*(1-0.603197115384615)</f>
        <v>0</v>
      </c>
      <c r="AH64" s="10">
        <f t="shared" si="18"/>
        <v>0</v>
      </c>
      <c r="AI64" s="10">
        <f t="shared" si="19"/>
        <v>0</v>
      </c>
      <c r="AJ64" s="11" t="s">
        <v>574</v>
      </c>
      <c r="AK64" s="11" t="s">
        <v>603</v>
      </c>
      <c r="AL64" s="9" t="s">
        <v>612</v>
      </c>
    </row>
    <row r="65" spans="1:38" ht="12.75">
      <c r="A65" s="121" t="s">
        <v>49</v>
      </c>
      <c r="B65" s="1" t="s">
        <v>225</v>
      </c>
      <c r="C65" s="1" t="s">
        <v>381</v>
      </c>
      <c r="D65" s="1" t="s">
        <v>541</v>
      </c>
      <c r="E65" s="6">
        <v>1.45</v>
      </c>
      <c r="F65" s="22">
        <v>0</v>
      </c>
      <c r="G65" s="18">
        <f t="shared" si="16"/>
        <v>0</v>
      </c>
      <c r="H65" s="6">
        <v>0.02</v>
      </c>
      <c r="I65" s="6">
        <f t="shared" si="17"/>
        <v>0.028999999999999998</v>
      </c>
      <c r="J65" s="6"/>
      <c r="K65" s="15"/>
      <c r="L65" s="15"/>
      <c r="M65" s="15"/>
      <c r="N65" s="15"/>
      <c r="O65" s="15"/>
      <c r="P65" s="15"/>
      <c r="Q65" s="15"/>
      <c r="R65" s="15"/>
      <c r="S65" s="15"/>
      <c r="U65" s="6">
        <f>IF(Y65=0,#REF!,0)</f>
        <v>0</v>
      </c>
      <c r="V65" s="6">
        <f>IF(Y65=15,#REF!,0)</f>
        <v>0</v>
      </c>
      <c r="W65" s="6" t="e">
        <f>IF(Y65=21,#REF!,0)</f>
        <v>#REF!</v>
      </c>
      <c r="Y65" s="10">
        <v>21</v>
      </c>
      <c r="Z65" s="10">
        <f>F65*0.341764705882353</f>
        <v>0</v>
      </c>
      <c r="AA65" s="10">
        <f>F65*(1-0.341764705882353)</f>
        <v>0</v>
      </c>
      <c r="AH65" s="10">
        <f t="shared" si="18"/>
        <v>0</v>
      </c>
      <c r="AI65" s="10">
        <f t="shared" si="19"/>
        <v>0</v>
      </c>
      <c r="AJ65" s="11" t="s">
        <v>574</v>
      </c>
      <c r="AK65" s="11" t="s">
        <v>603</v>
      </c>
      <c r="AL65" s="9" t="s">
        <v>612</v>
      </c>
    </row>
    <row r="66" spans="1:38" ht="12.75">
      <c r="A66" s="121" t="s">
        <v>50</v>
      </c>
      <c r="B66" s="1" t="s">
        <v>226</v>
      </c>
      <c r="C66" s="1" t="s">
        <v>382</v>
      </c>
      <c r="D66" s="1" t="s">
        <v>541</v>
      </c>
      <c r="E66" s="6">
        <v>2.9</v>
      </c>
      <c r="F66" s="22">
        <v>0</v>
      </c>
      <c r="G66" s="18">
        <f t="shared" si="16"/>
        <v>0</v>
      </c>
      <c r="H66" s="6">
        <v>0.04</v>
      </c>
      <c r="I66" s="6">
        <f t="shared" si="17"/>
        <v>0.11599999999999999</v>
      </c>
      <c r="J66" s="6"/>
      <c r="K66" s="15"/>
      <c r="L66" s="15"/>
      <c r="M66" s="15"/>
      <c r="N66" s="15"/>
      <c r="O66" s="15"/>
      <c r="P66" s="15"/>
      <c r="Q66" s="15"/>
      <c r="R66" s="15"/>
      <c r="S66" s="15"/>
      <c r="U66" s="6">
        <f>IF(Y66=0,#REF!,0)</f>
        <v>0</v>
      </c>
      <c r="V66" s="6">
        <f>IF(Y66=15,#REF!,0)</f>
        <v>0</v>
      </c>
      <c r="W66" s="6" t="e">
        <f>IF(Y66=21,#REF!,0)</f>
        <v>#REF!</v>
      </c>
      <c r="Y66" s="10">
        <v>21</v>
      </c>
      <c r="Z66" s="10">
        <f>F66*0.16042535637347</f>
        <v>0</v>
      </c>
      <c r="AA66" s="10">
        <f>F66*(1-0.16042535637347)</f>
        <v>0</v>
      </c>
      <c r="AH66" s="10">
        <f t="shared" si="18"/>
        <v>0</v>
      </c>
      <c r="AI66" s="10">
        <f t="shared" si="19"/>
        <v>0</v>
      </c>
      <c r="AJ66" s="11" t="s">
        <v>574</v>
      </c>
      <c r="AK66" s="11" t="s">
        <v>603</v>
      </c>
      <c r="AL66" s="9" t="s">
        <v>612</v>
      </c>
    </row>
    <row r="67" spans="1:38" ht="12.75">
      <c r="A67" s="121" t="s">
        <v>51</v>
      </c>
      <c r="B67" s="2" t="s">
        <v>227</v>
      </c>
      <c r="C67" s="2" t="s">
        <v>383</v>
      </c>
      <c r="D67" s="2" t="s">
        <v>542</v>
      </c>
      <c r="E67" s="7">
        <v>0.013</v>
      </c>
      <c r="F67" s="22">
        <v>0</v>
      </c>
      <c r="G67" s="18">
        <f t="shared" si="16"/>
        <v>0</v>
      </c>
      <c r="H67" s="7">
        <v>1</v>
      </c>
      <c r="I67" s="7">
        <f t="shared" si="17"/>
        <v>0.013</v>
      </c>
      <c r="J67" s="7"/>
      <c r="K67" s="15"/>
      <c r="L67" s="15"/>
      <c r="M67" s="15"/>
      <c r="N67" s="15"/>
      <c r="O67" s="15"/>
      <c r="P67" s="15"/>
      <c r="Q67" s="15"/>
      <c r="R67" s="15"/>
      <c r="S67" s="15"/>
      <c r="U67" s="7">
        <f>IF(Y67=0,#REF!,0)</f>
        <v>0</v>
      </c>
      <c r="V67" s="7">
        <f>IF(Y67=15,#REF!,0)</f>
        <v>0</v>
      </c>
      <c r="W67" s="7" t="e">
        <f>IF(Y67=21,#REF!,0)</f>
        <v>#REF!</v>
      </c>
      <c r="Y67" s="10">
        <v>21</v>
      </c>
      <c r="Z67" s="10">
        <f>F67*1</f>
        <v>0</v>
      </c>
      <c r="AA67" s="10">
        <f>F67*(1-1)</f>
        <v>0</v>
      </c>
      <c r="AH67" s="10">
        <f t="shared" si="18"/>
        <v>0</v>
      </c>
      <c r="AI67" s="10">
        <f t="shared" si="19"/>
        <v>0</v>
      </c>
      <c r="AJ67" s="11" t="s">
        <v>574</v>
      </c>
      <c r="AK67" s="11" t="s">
        <v>603</v>
      </c>
      <c r="AL67" s="9" t="s">
        <v>612</v>
      </c>
    </row>
    <row r="68" spans="1:38" ht="12.75">
      <c r="A68" s="121" t="s">
        <v>52</v>
      </c>
      <c r="B68" s="1" t="s">
        <v>225</v>
      </c>
      <c r="C68" s="1" t="s">
        <v>384</v>
      </c>
      <c r="D68" s="1" t="s">
        <v>541</v>
      </c>
      <c r="E68" s="6">
        <v>1.1</v>
      </c>
      <c r="F68" s="22">
        <v>0</v>
      </c>
      <c r="G68" s="18">
        <f t="shared" si="16"/>
        <v>0</v>
      </c>
      <c r="H68" s="6">
        <v>0.20443</v>
      </c>
      <c r="I68" s="6">
        <f t="shared" si="17"/>
        <v>0.22487300000000002</v>
      </c>
      <c r="J68" s="6"/>
      <c r="K68" s="15"/>
      <c r="L68" s="15"/>
      <c r="M68" s="15"/>
      <c r="N68" s="15"/>
      <c r="O68" s="15"/>
      <c r="P68" s="15"/>
      <c r="Q68" s="15"/>
      <c r="R68" s="15"/>
      <c r="S68" s="15"/>
      <c r="U68" s="6">
        <f>IF(Y68=0,#REF!,0)</f>
        <v>0</v>
      </c>
      <c r="V68" s="6">
        <f>IF(Y68=15,#REF!,0)</f>
        <v>0</v>
      </c>
      <c r="W68" s="6" t="e">
        <f>IF(Y68=21,#REF!,0)</f>
        <v>#REF!</v>
      </c>
      <c r="Y68" s="10">
        <v>21</v>
      </c>
      <c r="Z68" s="10">
        <f>F68*0.328471948495598</f>
        <v>0</v>
      </c>
      <c r="AA68" s="10">
        <f>F68*(1-0.328471948495598)</f>
        <v>0</v>
      </c>
      <c r="AH68" s="10">
        <f t="shared" si="18"/>
        <v>0</v>
      </c>
      <c r="AI68" s="10">
        <f t="shared" si="19"/>
        <v>0</v>
      </c>
      <c r="AJ68" s="11" t="s">
        <v>574</v>
      </c>
      <c r="AK68" s="11" t="s">
        <v>603</v>
      </c>
      <c r="AL68" s="9" t="s">
        <v>612</v>
      </c>
    </row>
    <row r="69" spans="1:38" ht="12.75">
      <c r="A69" s="121" t="s">
        <v>53</v>
      </c>
      <c r="B69" s="1" t="s">
        <v>226</v>
      </c>
      <c r="C69" s="1" t="s">
        <v>385</v>
      </c>
      <c r="D69" s="1" t="s">
        <v>541</v>
      </c>
      <c r="E69" s="6">
        <v>3.3</v>
      </c>
      <c r="F69" s="22">
        <v>0</v>
      </c>
      <c r="G69" s="18">
        <f t="shared" si="16"/>
        <v>0</v>
      </c>
      <c r="H69" s="6">
        <v>0.06314</v>
      </c>
      <c r="I69" s="6">
        <f t="shared" si="17"/>
        <v>0.208362</v>
      </c>
      <c r="J69" s="6"/>
      <c r="K69" s="15"/>
      <c r="L69" s="15"/>
      <c r="M69" s="15"/>
      <c r="N69" s="15"/>
      <c r="O69" s="15"/>
      <c r="P69" s="15"/>
      <c r="Q69" s="15"/>
      <c r="R69" s="15"/>
      <c r="S69" s="15"/>
      <c r="U69" s="6">
        <f>IF(Y69=0,#REF!,0)</f>
        <v>0</v>
      </c>
      <c r="V69" s="6">
        <f>IF(Y69=15,#REF!,0)</f>
        <v>0</v>
      </c>
      <c r="W69" s="6" t="e">
        <f>IF(Y69=21,#REF!,0)</f>
        <v>#REF!</v>
      </c>
      <c r="Y69" s="10">
        <v>21</v>
      </c>
      <c r="Z69" s="10">
        <f>F69*0.156157823506958</f>
        <v>0</v>
      </c>
      <c r="AA69" s="10">
        <f>F69*(1-0.156157823506958)</f>
        <v>0</v>
      </c>
      <c r="AH69" s="10">
        <f t="shared" si="18"/>
        <v>0</v>
      </c>
      <c r="AI69" s="10">
        <f t="shared" si="19"/>
        <v>0</v>
      </c>
      <c r="AJ69" s="11" t="s">
        <v>574</v>
      </c>
      <c r="AK69" s="11" t="s">
        <v>603</v>
      </c>
      <c r="AL69" s="9" t="s">
        <v>612</v>
      </c>
    </row>
    <row r="70" spans="1:38" ht="12.75">
      <c r="A70" s="121" t="s">
        <v>54</v>
      </c>
      <c r="B70" s="2" t="s">
        <v>228</v>
      </c>
      <c r="C70" s="2" t="s">
        <v>386</v>
      </c>
      <c r="D70" s="2" t="s">
        <v>542</v>
      </c>
      <c r="E70" s="7">
        <v>0.022</v>
      </c>
      <c r="F70" s="22">
        <v>0</v>
      </c>
      <c r="G70" s="18">
        <f t="shared" si="16"/>
        <v>0</v>
      </c>
      <c r="H70" s="7">
        <v>1</v>
      </c>
      <c r="I70" s="7">
        <f t="shared" si="17"/>
        <v>0.022</v>
      </c>
      <c r="J70" s="7"/>
      <c r="K70" s="15"/>
      <c r="L70" s="15"/>
      <c r="M70" s="15"/>
      <c r="N70" s="15"/>
      <c r="O70" s="15"/>
      <c r="P70" s="15"/>
      <c r="Q70" s="15"/>
      <c r="R70" s="15"/>
      <c r="S70" s="15"/>
      <c r="U70" s="7">
        <f>IF(Y70=0,#REF!,0)</f>
        <v>0</v>
      </c>
      <c r="V70" s="7">
        <f>IF(Y70=15,#REF!,0)</f>
        <v>0</v>
      </c>
      <c r="W70" s="7" t="e">
        <f>IF(Y70=21,#REF!,0)</f>
        <v>#REF!</v>
      </c>
      <c r="Y70" s="10">
        <v>21</v>
      </c>
      <c r="Z70" s="10">
        <f>F70*1</f>
        <v>0</v>
      </c>
      <c r="AA70" s="10">
        <f>F70*(1-1)</f>
        <v>0</v>
      </c>
      <c r="AH70" s="10">
        <f t="shared" si="18"/>
        <v>0</v>
      </c>
      <c r="AI70" s="10">
        <f t="shared" si="19"/>
        <v>0</v>
      </c>
      <c r="AJ70" s="11" t="s">
        <v>574</v>
      </c>
      <c r="AK70" s="11" t="s">
        <v>603</v>
      </c>
      <c r="AL70" s="9" t="s">
        <v>612</v>
      </c>
    </row>
    <row r="71" spans="1:38" ht="12.75">
      <c r="A71" s="121" t="s">
        <v>55</v>
      </c>
      <c r="B71" s="1" t="s">
        <v>225</v>
      </c>
      <c r="C71" s="1" t="s">
        <v>387</v>
      </c>
      <c r="D71" s="1" t="s">
        <v>541</v>
      </c>
      <c r="E71" s="6">
        <v>1.6</v>
      </c>
      <c r="F71" s="22">
        <v>0</v>
      </c>
      <c r="G71" s="18">
        <f t="shared" si="16"/>
        <v>0</v>
      </c>
      <c r="H71" s="6">
        <v>0.8</v>
      </c>
      <c r="I71" s="6">
        <f t="shared" si="17"/>
        <v>1.2800000000000002</v>
      </c>
      <c r="J71" s="6"/>
      <c r="K71" s="15"/>
      <c r="L71" s="15"/>
      <c r="M71" s="15"/>
      <c r="N71" s="15"/>
      <c r="O71" s="15"/>
      <c r="P71" s="15"/>
      <c r="Q71" s="15"/>
      <c r="R71" s="15"/>
      <c r="S71" s="15"/>
      <c r="U71" s="6">
        <f>IF(Y71=0,#REF!,0)</f>
        <v>0</v>
      </c>
      <c r="V71" s="6">
        <f>IF(Y71=15,#REF!,0)</f>
        <v>0</v>
      </c>
      <c r="W71" s="6" t="e">
        <f>IF(Y71=21,#REF!,0)</f>
        <v>#REF!</v>
      </c>
      <c r="Y71" s="10">
        <v>21</v>
      </c>
      <c r="Z71" s="10">
        <f>F71*0.389897045794764</f>
        <v>0</v>
      </c>
      <c r="AA71" s="10">
        <f>F71*(1-0.389897045794764)</f>
        <v>0</v>
      </c>
      <c r="AH71" s="10">
        <f t="shared" si="18"/>
        <v>0</v>
      </c>
      <c r="AI71" s="10">
        <f t="shared" si="19"/>
        <v>0</v>
      </c>
      <c r="AJ71" s="11" t="s">
        <v>574</v>
      </c>
      <c r="AK71" s="11" t="s">
        <v>603</v>
      </c>
      <c r="AL71" s="9" t="s">
        <v>612</v>
      </c>
    </row>
    <row r="72" spans="1:38" ht="12.75">
      <c r="A72" s="121" t="s">
        <v>56</v>
      </c>
      <c r="B72" s="1" t="s">
        <v>226</v>
      </c>
      <c r="C72" s="1" t="s">
        <v>388</v>
      </c>
      <c r="D72" s="1" t="s">
        <v>541</v>
      </c>
      <c r="E72" s="6">
        <v>12.8</v>
      </c>
      <c r="F72" s="22">
        <v>0</v>
      </c>
      <c r="G72" s="18">
        <f t="shared" si="16"/>
        <v>0</v>
      </c>
      <c r="H72" s="6">
        <v>0.06314</v>
      </c>
      <c r="I72" s="6">
        <f t="shared" si="17"/>
        <v>0.808192</v>
      </c>
      <c r="J72" s="6"/>
      <c r="K72" s="15"/>
      <c r="L72" s="15"/>
      <c r="M72" s="15"/>
      <c r="N72" s="15"/>
      <c r="O72" s="15"/>
      <c r="P72" s="15"/>
      <c r="Q72" s="15"/>
      <c r="R72" s="15"/>
      <c r="S72" s="15"/>
      <c r="U72" s="6">
        <f>IF(Y72=0,#REF!,0)</f>
        <v>0</v>
      </c>
      <c r="V72" s="6">
        <f>IF(Y72=15,#REF!,0)</f>
        <v>0</v>
      </c>
      <c r="W72" s="6" t="e">
        <f>IF(Y72=21,#REF!,0)</f>
        <v>#REF!</v>
      </c>
      <c r="Y72" s="10">
        <v>21</v>
      </c>
      <c r="Z72" s="10">
        <f>F72*0.152934960932069</f>
        <v>0</v>
      </c>
      <c r="AA72" s="10">
        <f>F72*(1-0.152934960932069)</f>
        <v>0</v>
      </c>
      <c r="AH72" s="10">
        <f t="shared" si="18"/>
        <v>0</v>
      </c>
      <c r="AI72" s="10">
        <f t="shared" si="19"/>
        <v>0</v>
      </c>
      <c r="AJ72" s="11" t="s">
        <v>574</v>
      </c>
      <c r="AK72" s="11" t="s">
        <v>603</v>
      </c>
      <c r="AL72" s="9" t="s">
        <v>612</v>
      </c>
    </row>
    <row r="73" spans="1:38" ht="12.75">
      <c r="A73" s="121" t="s">
        <v>57</v>
      </c>
      <c r="B73" s="2" t="s">
        <v>229</v>
      </c>
      <c r="C73" s="2" t="s">
        <v>389</v>
      </c>
      <c r="D73" s="2" t="s">
        <v>542</v>
      </c>
      <c r="E73" s="7">
        <v>0.154</v>
      </c>
      <c r="F73" s="22">
        <v>0</v>
      </c>
      <c r="G73" s="18">
        <f t="shared" si="16"/>
        <v>0</v>
      </c>
      <c r="H73" s="7">
        <v>1</v>
      </c>
      <c r="I73" s="7">
        <f t="shared" si="17"/>
        <v>0.154</v>
      </c>
      <c r="J73" s="7"/>
      <c r="K73" s="15"/>
      <c r="L73" s="15"/>
      <c r="M73" s="15"/>
      <c r="N73" s="15"/>
      <c r="O73" s="15"/>
      <c r="P73" s="15"/>
      <c r="Q73" s="15"/>
      <c r="R73" s="15"/>
      <c r="S73" s="15"/>
      <c r="U73" s="7">
        <f>IF(Y73=0,#REF!,0)</f>
        <v>0</v>
      </c>
      <c r="V73" s="7">
        <f>IF(Y73=15,#REF!,0)</f>
        <v>0</v>
      </c>
      <c r="W73" s="7" t="e">
        <f>IF(Y73=21,#REF!,0)</f>
        <v>#REF!</v>
      </c>
      <c r="Y73" s="10">
        <v>21</v>
      </c>
      <c r="Z73" s="10">
        <f>F73*1</f>
        <v>0</v>
      </c>
      <c r="AA73" s="10">
        <f>F73*(1-1)</f>
        <v>0</v>
      </c>
      <c r="AH73" s="10">
        <f t="shared" si="18"/>
        <v>0</v>
      </c>
      <c r="AI73" s="10">
        <f t="shared" si="19"/>
        <v>0</v>
      </c>
      <c r="AJ73" s="11" t="s">
        <v>574</v>
      </c>
      <c r="AK73" s="11" t="s">
        <v>603</v>
      </c>
      <c r="AL73" s="9" t="s">
        <v>612</v>
      </c>
    </row>
    <row r="74" spans="1:38" ht="12.75">
      <c r="A74" s="121" t="s">
        <v>58</v>
      </c>
      <c r="B74" s="1" t="s">
        <v>225</v>
      </c>
      <c r="C74" s="1" t="s">
        <v>390</v>
      </c>
      <c r="D74" s="1" t="s">
        <v>541</v>
      </c>
      <c r="E74" s="6">
        <v>1.6</v>
      </c>
      <c r="F74" s="22">
        <v>0</v>
      </c>
      <c r="G74" s="18">
        <f t="shared" si="16"/>
        <v>0</v>
      </c>
      <c r="H74" s="6">
        <v>0.037</v>
      </c>
      <c r="I74" s="6">
        <f t="shared" si="17"/>
        <v>0.0592</v>
      </c>
      <c r="J74" s="6"/>
      <c r="K74" s="15"/>
      <c r="L74" s="15"/>
      <c r="M74" s="15"/>
      <c r="N74" s="15"/>
      <c r="O74" s="15"/>
      <c r="P74" s="15"/>
      <c r="Q74" s="15"/>
      <c r="R74" s="15"/>
      <c r="S74" s="15"/>
      <c r="U74" s="6">
        <f>IF(Y74=0,#REF!,0)</f>
        <v>0</v>
      </c>
      <c r="V74" s="6">
        <f>IF(Y74=15,#REF!,0)</f>
        <v>0</v>
      </c>
      <c r="W74" s="6" t="e">
        <f>IF(Y74=21,#REF!,0)</f>
        <v>#REF!</v>
      </c>
      <c r="Y74" s="10">
        <v>21</v>
      </c>
      <c r="Z74" s="10">
        <f>F74*0.341633986928105</f>
        <v>0</v>
      </c>
      <c r="AA74" s="10">
        <f>F74*(1-0.341633986928105)</f>
        <v>0</v>
      </c>
      <c r="AH74" s="10">
        <f t="shared" si="18"/>
        <v>0</v>
      </c>
      <c r="AI74" s="10">
        <f t="shared" si="19"/>
        <v>0</v>
      </c>
      <c r="AJ74" s="11" t="s">
        <v>574</v>
      </c>
      <c r="AK74" s="11" t="s">
        <v>603</v>
      </c>
      <c r="AL74" s="9" t="s">
        <v>612</v>
      </c>
    </row>
    <row r="75" spans="1:38" ht="12.75">
      <c r="A75" s="121" t="s">
        <v>59</v>
      </c>
      <c r="B75" s="1" t="s">
        <v>226</v>
      </c>
      <c r="C75" s="1" t="s">
        <v>391</v>
      </c>
      <c r="D75" s="1" t="s">
        <v>541</v>
      </c>
      <c r="E75" s="6">
        <v>3.2</v>
      </c>
      <c r="F75" s="22">
        <v>0</v>
      </c>
      <c r="G75" s="18">
        <f t="shared" si="16"/>
        <v>0</v>
      </c>
      <c r="H75" s="6">
        <v>0.04</v>
      </c>
      <c r="I75" s="6">
        <f t="shared" si="17"/>
        <v>0.128</v>
      </c>
      <c r="J75" s="6"/>
      <c r="K75" s="15"/>
      <c r="L75" s="15"/>
      <c r="M75" s="15"/>
      <c r="N75" s="15"/>
      <c r="O75" s="15"/>
      <c r="P75" s="15"/>
      <c r="Q75" s="15"/>
      <c r="R75" s="15"/>
      <c r="S75" s="15"/>
      <c r="U75" s="6">
        <f>IF(Y75=0,#REF!,0)</f>
        <v>0</v>
      </c>
      <c r="V75" s="6">
        <f>IF(Y75=15,#REF!,0)</f>
        <v>0</v>
      </c>
      <c r="W75" s="6" t="e">
        <f>IF(Y75=21,#REF!,0)</f>
        <v>#REF!</v>
      </c>
      <c r="Y75" s="10">
        <v>21</v>
      </c>
      <c r="Z75" s="10">
        <f>F75*0.12870697162763</f>
        <v>0</v>
      </c>
      <c r="AA75" s="10">
        <f>F75*(1-0.12870697162763)</f>
        <v>0</v>
      </c>
      <c r="AH75" s="10">
        <f t="shared" si="18"/>
        <v>0</v>
      </c>
      <c r="AI75" s="10">
        <f t="shared" si="19"/>
        <v>0</v>
      </c>
      <c r="AJ75" s="11" t="s">
        <v>574</v>
      </c>
      <c r="AK75" s="11" t="s">
        <v>603</v>
      </c>
      <c r="AL75" s="9" t="s">
        <v>612</v>
      </c>
    </row>
    <row r="76" spans="1:38" ht="12.75">
      <c r="A76" s="121" t="s">
        <v>60</v>
      </c>
      <c r="B76" s="2" t="s">
        <v>230</v>
      </c>
      <c r="C76" s="2" t="s">
        <v>392</v>
      </c>
      <c r="D76" s="2" t="s">
        <v>542</v>
      </c>
      <c r="E76" s="7">
        <v>0.0195</v>
      </c>
      <c r="F76" s="22">
        <v>0</v>
      </c>
      <c r="G76" s="18">
        <f t="shared" si="16"/>
        <v>0</v>
      </c>
      <c r="H76" s="7">
        <v>1</v>
      </c>
      <c r="I76" s="7">
        <f t="shared" si="17"/>
        <v>0.0195</v>
      </c>
      <c r="J76" s="7"/>
      <c r="K76" s="15"/>
      <c r="L76" s="15"/>
      <c r="M76" s="15"/>
      <c r="N76" s="15"/>
      <c r="O76" s="15"/>
      <c r="P76" s="15"/>
      <c r="Q76" s="15"/>
      <c r="R76" s="15"/>
      <c r="S76" s="15"/>
      <c r="U76" s="7">
        <f>IF(Y76=0,#REF!,0)</f>
        <v>0</v>
      </c>
      <c r="V76" s="7">
        <f>IF(Y76=15,#REF!,0)</f>
        <v>0</v>
      </c>
      <c r="W76" s="7" t="e">
        <f>IF(Y76=21,#REF!,0)</f>
        <v>#REF!</v>
      </c>
      <c r="Y76" s="10">
        <v>21</v>
      </c>
      <c r="Z76" s="10">
        <f>F76*1</f>
        <v>0</v>
      </c>
      <c r="AA76" s="10">
        <f>F76*(1-1)</f>
        <v>0</v>
      </c>
      <c r="AH76" s="10">
        <f t="shared" si="18"/>
        <v>0</v>
      </c>
      <c r="AI76" s="10">
        <f t="shared" si="19"/>
        <v>0</v>
      </c>
      <c r="AJ76" s="11" t="s">
        <v>574</v>
      </c>
      <c r="AK76" s="11" t="s">
        <v>603</v>
      </c>
      <c r="AL76" s="9" t="s">
        <v>612</v>
      </c>
    </row>
    <row r="77" spans="1:38" ht="12.75">
      <c r="A77" s="121" t="s">
        <v>61</v>
      </c>
      <c r="B77" s="1" t="s">
        <v>225</v>
      </c>
      <c r="C77" s="1" t="s">
        <v>393</v>
      </c>
      <c r="D77" s="1" t="s">
        <v>541</v>
      </c>
      <c r="E77" s="6">
        <v>1.4</v>
      </c>
      <c r="F77" s="22">
        <v>0</v>
      </c>
      <c r="G77" s="18">
        <f t="shared" si="16"/>
        <v>0</v>
      </c>
      <c r="H77" s="6">
        <v>0.02</v>
      </c>
      <c r="I77" s="6">
        <f t="shared" si="17"/>
        <v>0.027999999999999997</v>
      </c>
      <c r="J77" s="6"/>
      <c r="K77" s="15"/>
      <c r="L77" s="15"/>
      <c r="M77" s="15"/>
      <c r="N77" s="15"/>
      <c r="O77" s="15"/>
      <c r="P77" s="15"/>
      <c r="Q77" s="15"/>
      <c r="R77" s="15"/>
      <c r="S77" s="15"/>
      <c r="U77" s="6">
        <f>IF(Y77=0,#REF!,0)</f>
        <v>0</v>
      </c>
      <c r="V77" s="6">
        <f>IF(Y77=15,#REF!,0)</f>
        <v>0</v>
      </c>
      <c r="W77" s="6" t="e">
        <f>IF(Y77=21,#REF!,0)</f>
        <v>#REF!</v>
      </c>
      <c r="Y77" s="10">
        <v>21</v>
      </c>
      <c r="Z77" s="10">
        <f>F77*0.341633986928105</f>
        <v>0</v>
      </c>
      <c r="AA77" s="10">
        <f>F77*(1-0.341633986928105)</f>
        <v>0</v>
      </c>
      <c r="AH77" s="10">
        <f t="shared" si="18"/>
        <v>0</v>
      </c>
      <c r="AI77" s="10">
        <f t="shared" si="19"/>
        <v>0</v>
      </c>
      <c r="AJ77" s="11" t="s">
        <v>574</v>
      </c>
      <c r="AK77" s="11" t="s">
        <v>603</v>
      </c>
      <c r="AL77" s="9" t="s">
        <v>612</v>
      </c>
    </row>
    <row r="78" spans="1:38" ht="12.75">
      <c r="A78" s="121" t="s">
        <v>62</v>
      </c>
      <c r="B78" s="1" t="s">
        <v>226</v>
      </c>
      <c r="C78" s="1" t="s">
        <v>394</v>
      </c>
      <c r="D78" s="1" t="s">
        <v>541</v>
      </c>
      <c r="E78" s="6">
        <v>2.8</v>
      </c>
      <c r="F78" s="22">
        <v>0</v>
      </c>
      <c r="G78" s="18">
        <f t="shared" si="16"/>
        <v>0</v>
      </c>
      <c r="H78" s="6">
        <v>0.04</v>
      </c>
      <c r="I78" s="6">
        <f t="shared" si="17"/>
        <v>0.11199999999999999</v>
      </c>
      <c r="J78" s="6"/>
      <c r="K78" s="15"/>
      <c r="L78" s="15"/>
      <c r="M78" s="15"/>
      <c r="N78" s="15"/>
      <c r="O78" s="15"/>
      <c r="P78" s="15"/>
      <c r="Q78" s="15"/>
      <c r="R78" s="15"/>
      <c r="S78" s="15"/>
      <c r="U78" s="6">
        <f>IF(Y78=0,#REF!,0)</f>
        <v>0</v>
      </c>
      <c r="V78" s="6">
        <f>IF(Y78=15,#REF!,0)</f>
        <v>0</v>
      </c>
      <c r="W78" s="6" t="e">
        <f>IF(Y78=21,#REF!,0)</f>
        <v>#REF!</v>
      </c>
      <c r="Y78" s="10">
        <v>21</v>
      </c>
      <c r="Z78" s="10">
        <f>F78*0.637301187147637</f>
        <v>0</v>
      </c>
      <c r="AA78" s="10">
        <f>F78*(1-0.637301187147637)</f>
        <v>0</v>
      </c>
      <c r="AH78" s="10">
        <f t="shared" si="18"/>
        <v>0</v>
      </c>
      <c r="AI78" s="10">
        <f t="shared" si="19"/>
        <v>0</v>
      </c>
      <c r="AJ78" s="11" t="s">
        <v>574</v>
      </c>
      <c r="AK78" s="11" t="s">
        <v>603</v>
      </c>
      <c r="AL78" s="9" t="s">
        <v>612</v>
      </c>
    </row>
    <row r="79" spans="1:38" ht="12.75">
      <c r="A79" s="121" t="s">
        <v>63</v>
      </c>
      <c r="B79" s="2" t="s">
        <v>231</v>
      </c>
      <c r="C79" s="2" t="s">
        <v>395</v>
      </c>
      <c r="D79" s="2" t="s">
        <v>542</v>
      </c>
      <c r="E79" s="7">
        <v>0.026</v>
      </c>
      <c r="F79" s="22">
        <v>0</v>
      </c>
      <c r="G79" s="18">
        <f t="shared" si="16"/>
        <v>0</v>
      </c>
      <c r="H79" s="7">
        <v>1</v>
      </c>
      <c r="I79" s="7">
        <f t="shared" si="17"/>
        <v>0.026</v>
      </c>
      <c r="J79" s="7"/>
      <c r="K79" s="15"/>
      <c r="L79" s="15"/>
      <c r="M79" s="15"/>
      <c r="N79" s="15"/>
      <c r="O79" s="15"/>
      <c r="P79" s="15"/>
      <c r="Q79" s="15"/>
      <c r="R79" s="15"/>
      <c r="S79" s="15"/>
      <c r="U79" s="7">
        <f>IF(Y79=0,#REF!,0)</f>
        <v>0</v>
      </c>
      <c r="V79" s="7">
        <f>IF(Y79=15,#REF!,0)</f>
        <v>0</v>
      </c>
      <c r="W79" s="7" t="e">
        <f>IF(Y79=21,#REF!,0)</f>
        <v>#REF!</v>
      </c>
      <c r="Y79" s="10">
        <v>21</v>
      </c>
      <c r="Z79" s="10">
        <f>F79*1</f>
        <v>0</v>
      </c>
      <c r="AA79" s="10">
        <f>F79*(1-1)</f>
        <v>0</v>
      </c>
      <c r="AH79" s="10">
        <f t="shared" si="18"/>
        <v>0</v>
      </c>
      <c r="AI79" s="10">
        <f t="shared" si="19"/>
        <v>0</v>
      </c>
      <c r="AJ79" s="11" t="s">
        <v>574</v>
      </c>
      <c r="AK79" s="11" t="s">
        <v>603</v>
      </c>
      <c r="AL79" s="9" t="s">
        <v>612</v>
      </c>
    </row>
    <row r="80" spans="1:38" ht="12.75">
      <c r="A80" s="121" t="s">
        <v>64</v>
      </c>
      <c r="B80" s="1" t="s">
        <v>232</v>
      </c>
      <c r="C80" s="1" t="s">
        <v>396</v>
      </c>
      <c r="D80" s="1" t="s">
        <v>541</v>
      </c>
      <c r="E80" s="6">
        <v>4.35</v>
      </c>
      <c r="F80" s="22">
        <v>0</v>
      </c>
      <c r="G80" s="18">
        <f t="shared" si="16"/>
        <v>0</v>
      </c>
      <c r="H80" s="6">
        <v>0.104</v>
      </c>
      <c r="I80" s="6">
        <f t="shared" si="17"/>
        <v>0.45239999999999997</v>
      </c>
      <c r="J80" s="6"/>
      <c r="K80" s="15"/>
      <c r="L80" s="15"/>
      <c r="M80" s="15"/>
      <c r="N80" s="15"/>
      <c r="O80" s="15"/>
      <c r="P80" s="15"/>
      <c r="Q80" s="15"/>
      <c r="R80" s="15"/>
      <c r="S80" s="15"/>
      <c r="U80" s="6">
        <f>IF(Y80=0,#REF!,0)</f>
        <v>0</v>
      </c>
      <c r="V80" s="6">
        <f>IF(Y80=15,#REF!,0)</f>
        <v>0</v>
      </c>
      <c r="W80" s="6" t="e">
        <f>IF(Y80=21,#REF!,0)</f>
        <v>#REF!</v>
      </c>
      <c r="Y80" s="10">
        <v>21</v>
      </c>
      <c r="Z80" s="10">
        <f>F80*0.497004310344828</f>
        <v>0</v>
      </c>
      <c r="AA80" s="10">
        <f>F80*(1-0.497004310344828)</f>
        <v>0</v>
      </c>
      <c r="AH80" s="10">
        <f t="shared" si="18"/>
        <v>0</v>
      </c>
      <c r="AI80" s="10">
        <f t="shared" si="19"/>
        <v>0</v>
      </c>
      <c r="AJ80" s="11" t="s">
        <v>574</v>
      </c>
      <c r="AK80" s="11" t="s">
        <v>603</v>
      </c>
      <c r="AL80" s="9" t="s">
        <v>612</v>
      </c>
    </row>
    <row r="81" spans="1:38" ht="12.75">
      <c r="A81" s="121" t="s">
        <v>65</v>
      </c>
      <c r="B81" s="1" t="s">
        <v>233</v>
      </c>
      <c r="C81" s="1" t="s">
        <v>397</v>
      </c>
      <c r="D81" s="1" t="s">
        <v>543</v>
      </c>
      <c r="E81" s="6">
        <v>15</v>
      </c>
      <c r="F81" s="22">
        <v>0</v>
      </c>
      <c r="G81" s="18">
        <f t="shared" si="16"/>
        <v>0</v>
      </c>
      <c r="H81" s="6">
        <v>0.03874</v>
      </c>
      <c r="I81" s="6">
        <f t="shared" si="17"/>
        <v>0.5811</v>
      </c>
      <c r="J81" s="6"/>
      <c r="K81" s="15"/>
      <c r="L81" s="15"/>
      <c r="M81" s="15"/>
      <c r="N81" s="15"/>
      <c r="O81" s="15"/>
      <c r="P81" s="15"/>
      <c r="Q81" s="15"/>
      <c r="R81" s="15"/>
      <c r="S81" s="15"/>
      <c r="U81" s="6">
        <f>IF(Y81=0,#REF!,0)</f>
        <v>0</v>
      </c>
      <c r="V81" s="6">
        <f>IF(Y81=15,#REF!,0)</f>
        <v>0</v>
      </c>
      <c r="W81" s="6" t="e">
        <f>IF(Y81=21,#REF!,0)</f>
        <v>#REF!</v>
      </c>
      <c r="Y81" s="10">
        <v>21</v>
      </c>
      <c r="Z81" s="10">
        <f>F81*0.505583282467416</f>
        <v>0</v>
      </c>
      <c r="AA81" s="10">
        <f>F81*(1-0.505583282467416)</f>
        <v>0</v>
      </c>
      <c r="AH81" s="10">
        <f t="shared" si="18"/>
        <v>0</v>
      </c>
      <c r="AI81" s="10">
        <f t="shared" si="19"/>
        <v>0</v>
      </c>
      <c r="AJ81" s="11" t="s">
        <v>574</v>
      </c>
      <c r="AK81" s="11" t="s">
        <v>603</v>
      </c>
      <c r="AL81" s="9" t="s">
        <v>612</v>
      </c>
    </row>
    <row r="82" spans="1:38" ht="12.75">
      <c r="A82" s="121" t="s">
        <v>66</v>
      </c>
      <c r="B82" s="1" t="s">
        <v>234</v>
      </c>
      <c r="C82" s="1" t="s">
        <v>398</v>
      </c>
      <c r="D82" s="1" t="s">
        <v>543</v>
      </c>
      <c r="E82" s="6">
        <v>3</v>
      </c>
      <c r="F82" s="22">
        <v>0</v>
      </c>
      <c r="G82" s="18">
        <f t="shared" si="16"/>
        <v>0</v>
      </c>
      <c r="H82" s="6">
        <v>0.13807</v>
      </c>
      <c r="I82" s="6">
        <f t="shared" si="17"/>
        <v>0.41420999999999997</v>
      </c>
      <c r="J82" s="6"/>
      <c r="K82" s="15"/>
      <c r="L82" s="15"/>
      <c r="M82" s="15"/>
      <c r="N82" s="15"/>
      <c r="O82" s="15"/>
      <c r="P82" s="15"/>
      <c r="Q82" s="15"/>
      <c r="R82" s="15"/>
      <c r="S82" s="15"/>
      <c r="U82" s="6">
        <f>IF(Y82=0,#REF!,0)</f>
        <v>0</v>
      </c>
      <c r="V82" s="6">
        <f>IF(Y82=15,#REF!,0)</f>
        <v>0</v>
      </c>
      <c r="W82" s="6" t="e">
        <f>IF(Y82=21,#REF!,0)</f>
        <v>#REF!</v>
      </c>
      <c r="Y82" s="10">
        <v>21</v>
      </c>
      <c r="Z82" s="10">
        <f>F82*0.681393442622951</f>
        <v>0</v>
      </c>
      <c r="AA82" s="10">
        <f>F82*(1-0.681393442622951)</f>
        <v>0</v>
      </c>
      <c r="AH82" s="10">
        <f t="shared" si="18"/>
        <v>0</v>
      </c>
      <c r="AI82" s="10">
        <f t="shared" si="19"/>
        <v>0</v>
      </c>
      <c r="AJ82" s="11" t="s">
        <v>574</v>
      </c>
      <c r="AK82" s="11" t="s">
        <v>603</v>
      </c>
      <c r="AL82" s="9" t="s">
        <v>612</v>
      </c>
    </row>
    <row r="83" spans="1:38" ht="12.75">
      <c r="A83" s="121" t="s">
        <v>67</v>
      </c>
      <c r="B83" s="1" t="s">
        <v>235</v>
      </c>
      <c r="C83" s="1" t="s">
        <v>399</v>
      </c>
      <c r="D83" s="1" t="s">
        <v>541</v>
      </c>
      <c r="E83" s="6">
        <v>1.5</v>
      </c>
      <c r="F83" s="22">
        <v>0</v>
      </c>
      <c r="G83" s="18">
        <f t="shared" si="16"/>
        <v>0</v>
      </c>
      <c r="H83" s="6">
        <v>0.20443</v>
      </c>
      <c r="I83" s="6">
        <f t="shared" si="17"/>
        <v>0.306645</v>
      </c>
      <c r="J83" s="6"/>
      <c r="K83" s="15"/>
      <c r="L83" s="15"/>
      <c r="M83" s="15"/>
      <c r="N83" s="15"/>
      <c r="O83" s="15"/>
      <c r="P83" s="15"/>
      <c r="Q83" s="15"/>
      <c r="R83" s="15"/>
      <c r="S83" s="15"/>
      <c r="U83" s="6">
        <f>IF(Y83=0,#REF!,0)</f>
        <v>0</v>
      </c>
      <c r="V83" s="6">
        <f>IF(Y83=15,#REF!,0)</f>
        <v>0</v>
      </c>
      <c r="W83" s="6" t="e">
        <f>IF(Y83=21,#REF!,0)</f>
        <v>#REF!</v>
      </c>
      <c r="Y83" s="10">
        <v>21</v>
      </c>
      <c r="Z83" s="10">
        <f>F83*0.341656773778144</f>
        <v>0</v>
      </c>
      <c r="AA83" s="10">
        <f>F83*(1-0.341656773778144)</f>
        <v>0</v>
      </c>
      <c r="AH83" s="10">
        <f t="shared" si="18"/>
        <v>0</v>
      </c>
      <c r="AI83" s="10">
        <f t="shared" si="19"/>
        <v>0</v>
      </c>
      <c r="AJ83" s="11" t="s">
        <v>574</v>
      </c>
      <c r="AK83" s="11" t="s">
        <v>603</v>
      </c>
      <c r="AL83" s="9" t="s">
        <v>612</v>
      </c>
    </row>
    <row r="84" spans="1:38" ht="12.75">
      <c r="A84" s="121" t="s">
        <v>68</v>
      </c>
      <c r="B84" s="1" t="s">
        <v>236</v>
      </c>
      <c r="C84" s="1" t="s">
        <v>400</v>
      </c>
      <c r="D84" s="1" t="s">
        <v>542</v>
      </c>
      <c r="E84" s="6">
        <v>0.26</v>
      </c>
      <c r="F84" s="22">
        <v>0</v>
      </c>
      <c r="G84" s="18">
        <f t="shared" si="16"/>
        <v>0</v>
      </c>
      <c r="H84" s="6">
        <v>0.01663</v>
      </c>
      <c r="I84" s="6">
        <f t="shared" si="17"/>
        <v>0.0043238</v>
      </c>
      <c r="J84" s="6"/>
      <c r="K84" s="15"/>
      <c r="L84" s="15"/>
      <c r="M84" s="15"/>
      <c r="N84" s="15"/>
      <c r="O84" s="15"/>
      <c r="P84" s="15"/>
      <c r="Q84" s="15"/>
      <c r="R84" s="15"/>
      <c r="S84" s="15"/>
      <c r="U84" s="6">
        <f>IF(Y84=0,#REF!,0)</f>
        <v>0</v>
      </c>
      <c r="V84" s="6">
        <f>IF(Y84=15,#REF!,0)</f>
        <v>0</v>
      </c>
      <c r="W84" s="6" t="e">
        <f>IF(Y84=21,#REF!,0)</f>
        <v>#REF!</v>
      </c>
      <c r="Y84" s="10">
        <v>21</v>
      </c>
      <c r="Z84" s="10">
        <f>F84*0.00294377510040161</f>
        <v>0</v>
      </c>
      <c r="AA84" s="10">
        <f>F84*(1-0.00294377510040161)</f>
        <v>0</v>
      </c>
      <c r="AH84" s="10">
        <f t="shared" si="18"/>
        <v>0</v>
      </c>
      <c r="AI84" s="10">
        <f t="shared" si="19"/>
        <v>0</v>
      </c>
      <c r="AJ84" s="11" t="s">
        <v>574</v>
      </c>
      <c r="AK84" s="11" t="s">
        <v>603</v>
      </c>
      <c r="AL84" s="9" t="s">
        <v>612</v>
      </c>
    </row>
    <row r="85" spans="1:38" ht="12.75">
      <c r="A85" s="121" t="s">
        <v>69</v>
      </c>
      <c r="B85" s="2" t="s">
        <v>237</v>
      </c>
      <c r="C85" s="2" t="s">
        <v>401</v>
      </c>
      <c r="D85" s="2" t="s">
        <v>542</v>
      </c>
      <c r="E85" s="7">
        <v>0.281</v>
      </c>
      <c r="F85" s="22">
        <v>0</v>
      </c>
      <c r="G85" s="18">
        <f t="shared" si="16"/>
        <v>0</v>
      </c>
      <c r="H85" s="7">
        <v>1</v>
      </c>
      <c r="I85" s="7">
        <f t="shared" si="17"/>
        <v>0.281</v>
      </c>
      <c r="J85" s="7"/>
      <c r="K85" s="15"/>
      <c r="L85" s="15"/>
      <c r="M85" s="15"/>
      <c r="N85" s="15"/>
      <c r="O85" s="15"/>
      <c r="P85" s="15"/>
      <c r="Q85" s="15"/>
      <c r="R85" s="15"/>
      <c r="S85" s="15"/>
      <c r="U85" s="7">
        <f>IF(Y85=0,#REF!,0)</f>
        <v>0</v>
      </c>
      <c r="V85" s="7">
        <f>IF(Y85=15,#REF!,0)</f>
        <v>0</v>
      </c>
      <c r="W85" s="7" t="e">
        <f>IF(Y85=21,#REF!,0)</f>
        <v>#REF!</v>
      </c>
      <c r="Y85" s="10">
        <v>21</v>
      </c>
      <c r="Z85" s="10">
        <f>F85*1</f>
        <v>0</v>
      </c>
      <c r="AA85" s="10">
        <f>F85*(1-1)</f>
        <v>0</v>
      </c>
      <c r="AH85" s="10">
        <f t="shared" si="18"/>
        <v>0</v>
      </c>
      <c r="AI85" s="10">
        <f t="shared" si="19"/>
        <v>0</v>
      </c>
      <c r="AJ85" s="11" t="s">
        <v>574</v>
      </c>
      <c r="AK85" s="11" t="s">
        <v>603</v>
      </c>
      <c r="AL85" s="9" t="s">
        <v>612</v>
      </c>
    </row>
    <row r="86" spans="1:38" ht="12.75">
      <c r="A86" s="121" t="s">
        <v>70</v>
      </c>
      <c r="B86" s="1" t="s">
        <v>238</v>
      </c>
      <c r="C86" s="1" t="s">
        <v>402</v>
      </c>
      <c r="D86" s="1" t="s">
        <v>540</v>
      </c>
      <c r="E86" s="6">
        <v>10.38</v>
      </c>
      <c r="F86" s="22">
        <v>0</v>
      </c>
      <c r="G86" s="18">
        <f t="shared" si="16"/>
        <v>0</v>
      </c>
      <c r="H86" s="6">
        <v>0.01317</v>
      </c>
      <c r="I86" s="6">
        <f t="shared" si="17"/>
        <v>0.1367046</v>
      </c>
      <c r="J86" s="6"/>
      <c r="K86" s="15"/>
      <c r="L86" s="15"/>
      <c r="M86" s="15"/>
      <c r="N86" s="15"/>
      <c r="O86" s="15"/>
      <c r="P86" s="15"/>
      <c r="Q86" s="15"/>
      <c r="R86" s="15"/>
      <c r="S86" s="15"/>
      <c r="U86" s="6">
        <f>IF(Y86=0,#REF!,0)</f>
        <v>0</v>
      </c>
      <c r="V86" s="6">
        <f>IF(Y86=15,#REF!,0)</f>
        <v>0</v>
      </c>
      <c r="W86" s="6" t="e">
        <f>IF(Y86=21,#REF!,0)</f>
        <v>#REF!</v>
      </c>
      <c r="Y86" s="10">
        <v>21</v>
      </c>
      <c r="Z86" s="10">
        <f>F86*0.930625978090767</f>
        <v>0</v>
      </c>
      <c r="AA86" s="10">
        <f>F86*(1-0.930625978090767)</f>
        <v>0</v>
      </c>
      <c r="AH86" s="10">
        <f t="shared" si="18"/>
        <v>0</v>
      </c>
      <c r="AI86" s="10">
        <f t="shared" si="19"/>
        <v>0</v>
      </c>
      <c r="AJ86" s="11" t="s">
        <v>574</v>
      </c>
      <c r="AK86" s="11" t="s">
        <v>603</v>
      </c>
      <c r="AL86" s="9" t="s">
        <v>612</v>
      </c>
    </row>
    <row r="87" spans="1:38" ht="12.75">
      <c r="A87" s="121" t="s">
        <v>71</v>
      </c>
      <c r="B87" s="1" t="s">
        <v>239</v>
      </c>
      <c r="C87" s="1" t="s">
        <v>403</v>
      </c>
      <c r="D87" s="1" t="s">
        <v>540</v>
      </c>
      <c r="E87" s="6">
        <v>0.61</v>
      </c>
      <c r="F87" s="22">
        <v>0</v>
      </c>
      <c r="G87" s="18">
        <f t="shared" si="16"/>
        <v>0</v>
      </c>
      <c r="H87" s="6">
        <v>0.03637</v>
      </c>
      <c r="I87" s="6">
        <f t="shared" si="17"/>
        <v>0.0221857</v>
      </c>
      <c r="J87" s="6"/>
      <c r="K87" s="15"/>
      <c r="L87" s="15"/>
      <c r="M87" s="15"/>
      <c r="N87" s="15"/>
      <c r="O87" s="15"/>
      <c r="P87" s="15"/>
      <c r="Q87" s="15"/>
      <c r="R87" s="15"/>
      <c r="S87" s="15"/>
      <c r="U87" s="6">
        <f>IF(Y87=0,#REF!,0)</f>
        <v>0</v>
      </c>
      <c r="V87" s="6">
        <f>IF(Y87=15,#REF!,0)</f>
        <v>0</v>
      </c>
      <c r="W87" s="6" t="e">
        <f>IF(Y87=21,#REF!,0)</f>
        <v>#REF!</v>
      </c>
      <c r="Y87" s="10">
        <v>21</v>
      </c>
      <c r="Z87" s="10">
        <f>F87*0.587211838257863</f>
        <v>0</v>
      </c>
      <c r="AA87" s="10">
        <f>F87*(1-0.587211838257863)</f>
        <v>0</v>
      </c>
      <c r="AH87" s="10">
        <f t="shared" si="18"/>
        <v>0</v>
      </c>
      <c r="AI87" s="10">
        <f t="shared" si="19"/>
        <v>0</v>
      </c>
      <c r="AJ87" s="11" t="s">
        <v>574</v>
      </c>
      <c r="AK87" s="11" t="s">
        <v>603</v>
      </c>
      <c r="AL87" s="9" t="s">
        <v>612</v>
      </c>
    </row>
    <row r="88" spans="1:38" ht="12.75">
      <c r="A88" s="121" t="s">
        <v>72</v>
      </c>
      <c r="B88" s="1" t="s">
        <v>240</v>
      </c>
      <c r="C88" s="1" t="s">
        <v>404</v>
      </c>
      <c r="D88" s="1" t="s">
        <v>539</v>
      </c>
      <c r="E88" s="6">
        <v>0.782</v>
      </c>
      <c r="F88" s="22">
        <v>0</v>
      </c>
      <c r="G88" s="18">
        <f t="shared" si="16"/>
        <v>0</v>
      </c>
      <c r="H88" s="6">
        <v>2.52514</v>
      </c>
      <c r="I88" s="6">
        <f t="shared" si="17"/>
        <v>1.9746594800000001</v>
      </c>
      <c r="J88" s="6"/>
      <c r="K88" s="15"/>
      <c r="L88" s="15"/>
      <c r="M88" s="15"/>
      <c r="N88" s="15"/>
      <c r="O88" s="15"/>
      <c r="P88" s="15"/>
      <c r="Q88" s="15"/>
      <c r="R88" s="15"/>
      <c r="S88" s="15"/>
      <c r="U88" s="6">
        <f>IF(Y88=0,#REF!,0)</f>
        <v>0</v>
      </c>
      <c r="V88" s="6">
        <f>IF(Y88=15,#REF!,0)</f>
        <v>0</v>
      </c>
      <c r="W88" s="6" t="e">
        <f>IF(Y88=21,#REF!,0)</f>
        <v>#REF!</v>
      </c>
      <c r="Y88" s="10">
        <v>21</v>
      </c>
      <c r="Z88" s="10">
        <f>F88*0.867390625</f>
        <v>0</v>
      </c>
      <c r="AA88" s="10">
        <f>F88*(1-0.867390625)</f>
        <v>0</v>
      </c>
      <c r="AH88" s="10">
        <f t="shared" si="18"/>
        <v>0</v>
      </c>
      <c r="AI88" s="10">
        <f t="shared" si="19"/>
        <v>0</v>
      </c>
      <c r="AJ88" s="11" t="s">
        <v>574</v>
      </c>
      <c r="AK88" s="11" t="s">
        <v>603</v>
      </c>
      <c r="AL88" s="9" t="s">
        <v>612</v>
      </c>
    </row>
    <row r="89" spans="1:38" ht="12.75">
      <c r="A89" s="121" t="s">
        <v>73</v>
      </c>
      <c r="B89" s="1" t="s">
        <v>241</v>
      </c>
      <c r="C89" s="1" t="s">
        <v>405</v>
      </c>
      <c r="D89" s="1" t="s">
        <v>542</v>
      </c>
      <c r="E89" s="6">
        <v>0.0716</v>
      </c>
      <c r="F89" s="22">
        <v>0</v>
      </c>
      <c r="G89" s="18">
        <f t="shared" si="16"/>
        <v>0</v>
      </c>
      <c r="H89" s="6">
        <v>1.05544</v>
      </c>
      <c r="I89" s="6">
        <f t="shared" si="17"/>
        <v>0.075569504</v>
      </c>
      <c r="J89" s="6"/>
      <c r="K89" s="15"/>
      <c r="L89" s="15"/>
      <c r="M89" s="15"/>
      <c r="N89" s="15"/>
      <c r="O89" s="15"/>
      <c r="P89" s="15"/>
      <c r="Q89" s="15"/>
      <c r="R89" s="15"/>
      <c r="S89" s="15"/>
      <c r="U89" s="6">
        <f>IF(Y89=0,#REF!,0)</f>
        <v>0</v>
      </c>
      <c r="V89" s="6">
        <f>IF(Y89=15,#REF!,0)</f>
        <v>0</v>
      </c>
      <c r="W89" s="6" t="e">
        <f>IF(Y89=21,#REF!,0)</f>
        <v>#REF!</v>
      </c>
      <c r="Y89" s="10">
        <v>21</v>
      </c>
      <c r="Z89" s="10">
        <f>F89*0.851681113571655</f>
        <v>0</v>
      </c>
      <c r="AA89" s="10">
        <f>F89*(1-0.851681113571655)</f>
        <v>0</v>
      </c>
      <c r="AH89" s="10">
        <f t="shared" si="18"/>
        <v>0</v>
      </c>
      <c r="AI89" s="10">
        <f t="shared" si="19"/>
        <v>0</v>
      </c>
      <c r="AJ89" s="11" t="s">
        <v>574</v>
      </c>
      <c r="AK89" s="11" t="s">
        <v>603</v>
      </c>
      <c r="AL89" s="9" t="s">
        <v>612</v>
      </c>
    </row>
    <row r="90" spans="1:38" ht="12.75">
      <c r="A90" s="121" t="s">
        <v>74</v>
      </c>
      <c r="B90" s="1" t="s">
        <v>242</v>
      </c>
      <c r="C90" s="1" t="s">
        <v>406</v>
      </c>
      <c r="D90" s="1" t="s">
        <v>540</v>
      </c>
      <c r="E90" s="6">
        <v>9.42</v>
      </c>
      <c r="F90" s="22">
        <v>0</v>
      </c>
      <c r="G90" s="18">
        <f t="shared" si="16"/>
        <v>0</v>
      </c>
      <c r="H90" s="6">
        <v>0.00227</v>
      </c>
      <c r="I90" s="6">
        <f t="shared" si="17"/>
        <v>0.0213834</v>
      </c>
      <c r="J90" s="6"/>
      <c r="K90" s="15"/>
      <c r="L90" s="15"/>
      <c r="M90" s="15"/>
      <c r="N90" s="15"/>
      <c r="O90" s="15"/>
      <c r="P90" s="15"/>
      <c r="Q90" s="15"/>
      <c r="R90" s="15"/>
      <c r="S90" s="15"/>
      <c r="U90" s="6">
        <f>IF(Y90=0,#REF!,0)</f>
        <v>0</v>
      </c>
      <c r="V90" s="6">
        <f>IF(Y90=15,#REF!,0)</f>
        <v>0</v>
      </c>
      <c r="W90" s="6" t="e">
        <f>IF(Y90=21,#REF!,0)</f>
        <v>#REF!</v>
      </c>
      <c r="Y90" s="10">
        <v>21</v>
      </c>
      <c r="Z90" s="10">
        <f>F90*0.139288256227758</f>
        <v>0</v>
      </c>
      <c r="AA90" s="10">
        <f>F90*(1-0.139288256227758)</f>
        <v>0</v>
      </c>
      <c r="AH90" s="10">
        <f t="shared" si="18"/>
        <v>0</v>
      </c>
      <c r="AI90" s="10">
        <f t="shared" si="19"/>
        <v>0</v>
      </c>
      <c r="AJ90" s="11" t="s">
        <v>574</v>
      </c>
      <c r="AK90" s="11" t="s">
        <v>603</v>
      </c>
      <c r="AL90" s="9" t="s">
        <v>612</v>
      </c>
    </row>
    <row r="91" spans="1:38" ht="12.75">
      <c r="A91" s="121" t="s">
        <v>75</v>
      </c>
      <c r="B91" s="1" t="s">
        <v>243</v>
      </c>
      <c r="C91" s="1" t="s">
        <v>407</v>
      </c>
      <c r="D91" s="1" t="s">
        <v>540</v>
      </c>
      <c r="E91" s="6">
        <v>9.42</v>
      </c>
      <c r="F91" s="22">
        <v>0</v>
      </c>
      <c r="G91" s="18">
        <f t="shared" si="16"/>
        <v>0</v>
      </c>
      <c r="H91" s="6">
        <v>0</v>
      </c>
      <c r="I91" s="6">
        <f t="shared" si="17"/>
        <v>0</v>
      </c>
      <c r="J91" s="6"/>
      <c r="K91" s="15"/>
      <c r="L91" s="15"/>
      <c r="M91" s="15"/>
      <c r="N91" s="15"/>
      <c r="O91" s="15"/>
      <c r="P91" s="15"/>
      <c r="Q91" s="15"/>
      <c r="R91" s="15"/>
      <c r="S91" s="15"/>
      <c r="U91" s="6">
        <f>IF(Y91=0,#REF!,0)</f>
        <v>0</v>
      </c>
      <c r="V91" s="6">
        <f>IF(Y91=15,#REF!,0)</f>
        <v>0</v>
      </c>
      <c r="W91" s="6" t="e">
        <f>IF(Y91=21,#REF!,0)</f>
        <v>#REF!</v>
      </c>
      <c r="Y91" s="10">
        <v>21</v>
      </c>
      <c r="Z91" s="10">
        <f>F91*0</f>
        <v>0</v>
      </c>
      <c r="AA91" s="10">
        <f>F91*(1-0)</f>
        <v>0</v>
      </c>
      <c r="AH91" s="10">
        <f t="shared" si="18"/>
        <v>0</v>
      </c>
      <c r="AI91" s="10">
        <f t="shared" si="19"/>
        <v>0</v>
      </c>
      <c r="AJ91" s="11" t="s">
        <v>574</v>
      </c>
      <c r="AK91" s="11" t="s">
        <v>603</v>
      </c>
      <c r="AL91" s="9" t="s">
        <v>612</v>
      </c>
    </row>
    <row r="92" spans="1:38" ht="12.75">
      <c r="A92" s="121" t="s">
        <v>76</v>
      </c>
      <c r="B92" s="1" t="s">
        <v>244</v>
      </c>
      <c r="C92" s="1" t="s">
        <v>408</v>
      </c>
      <c r="D92" s="1" t="s">
        <v>543</v>
      </c>
      <c r="E92" s="6">
        <v>5</v>
      </c>
      <c r="F92" s="22">
        <v>0</v>
      </c>
      <c r="G92" s="18">
        <f t="shared" si="16"/>
        <v>0</v>
      </c>
      <c r="H92" s="6">
        <v>0.06561</v>
      </c>
      <c r="I92" s="6">
        <f t="shared" si="17"/>
        <v>0.32805</v>
      </c>
      <c r="J92" s="6"/>
      <c r="K92" s="15"/>
      <c r="L92" s="15"/>
      <c r="M92" s="15"/>
      <c r="N92" s="15"/>
      <c r="O92" s="15"/>
      <c r="P92" s="15"/>
      <c r="Q92" s="15"/>
      <c r="R92" s="15"/>
      <c r="S92" s="15"/>
      <c r="U92" s="6">
        <f>IF(Y92=0,#REF!,0)</f>
        <v>0</v>
      </c>
      <c r="V92" s="6">
        <f>IF(Y92=15,#REF!,0)</f>
        <v>0</v>
      </c>
      <c r="W92" s="6" t="e">
        <f>IF(Y92=21,#REF!,0)</f>
        <v>#REF!</v>
      </c>
      <c r="Y92" s="10">
        <v>21</v>
      </c>
      <c r="Z92" s="10">
        <f>F92*0.398716213265796</f>
        <v>0</v>
      </c>
      <c r="AA92" s="10">
        <f>F92*(1-0.398716213265796)</f>
        <v>0</v>
      </c>
      <c r="AH92" s="10">
        <f t="shared" si="18"/>
        <v>0</v>
      </c>
      <c r="AI92" s="10">
        <f t="shared" si="19"/>
        <v>0</v>
      </c>
      <c r="AJ92" s="11" t="s">
        <v>574</v>
      </c>
      <c r="AK92" s="11" t="s">
        <v>603</v>
      </c>
      <c r="AL92" s="9" t="s">
        <v>612</v>
      </c>
    </row>
    <row r="93" spans="1:38" ht="12.75">
      <c r="A93" s="121" t="s">
        <v>77</v>
      </c>
      <c r="B93" s="1" t="s">
        <v>225</v>
      </c>
      <c r="C93" s="1" t="s">
        <v>409</v>
      </c>
      <c r="D93" s="1" t="s">
        <v>541</v>
      </c>
      <c r="E93" s="6">
        <v>4.4</v>
      </c>
      <c r="F93" s="22">
        <v>0</v>
      </c>
      <c r="G93" s="18">
        <f t="shared" si="16"/>
        <v>0</v>
      </c>
      <c r="H93" s="6">
        <v>0.40627</v>
      </c>
      <c r="I93" s="6">
        <f t="shared" si="17"/>
        <v>1.7875880000000002</v>
      </c>
      <c r="J93" s="6"/>
      <c r="K93" s="15"/>
      <c r="L93" s="15"/>
      <c r="M93" s="15"/>
      <c r="N93" s="15"/>
      <c r="O93" s="15"/>
      <c r="P93" s="15"/>
      <c r="Q93" s="15"/>
      <c r="R93" s="15"/>
      <c r="S93" s="15"/>
      <c r="U93" s="6">
        <f>IF(Y93=0,#REF!,0)</f>
        <v>0</v>
      </c>
      <c r="V93" s="6">
        <f>IF(Y93=15,#REF!,0)</f>
        <v>0</v>
      </c>
      <c r="W93" s="6" t="e">
        <f>IF(Y93=21,#REF!,0)</f>
        <v>#REF!</v>
      </c>
      <c r="Y93" s="10">
        <v>21</v>
      </c>
      <c r="Z93" s="10">
        <f>F93*0.35497469762149</f>
        <v>0</v>
      </c>
      <c r="AA93" s="10">
        <f>F93*(1-0.35497469762149)</f>
        <v>0</v>
      </c>
      <c r="AH93" s="10">
        <f t="shared" si="18"/>
        <v>0</v>
      </c>
      <c r="AI93" s="10">
        <f t="shared" si="19"/>
        <v>0</v>
      </c>
      <c r="AJ93" s="11" t="s">
        <v>574</v>
      </c>
      <c r="AK93" s="11" t="s">
        <v>603</v>
      </c>
      <c r="AL93" s="9" t="s">
        <v>612</v>
      </c>
    </row>
    <row r="94" spans="1:38" ht="12.75">
      <c r="A94" s="121" t="s">
        <v>78</v>
      </c>
      <c r="B94" s="1" t="s">
        <v>226</v>
      </c>
      <c r="C94" s="1" t="s">
        <v>410</v>
      </c>
      <c r="D94" s="1" t="s">
        <v>541</v>
      </c>
      <c r="E94" s="6">
        <v>17.6</v>
      </c>
      <c r="F94" s="22">
        <v>0</v>
      </c>
      <c r="G94" s="18">
        <f t="shared" si="16"/>
        <v>0</v>
      </c>
      <c r="H94" s="6">
        <v>0.028</v>
      </c>
      <c r="I94" s="6">
        <f t="shared" si="17"/>
        <v>0.49280000000000007</v>
      </c>
      <c r="J94" s="6"/>
      <c r="K94" s="15"/>
      <c r="L94" s="15"/>
      <c r="M94" s="15"/>
      <c r="N94" s="15"/>
      <c r="O94" s="15"/>
      <c r="P94" s="15"/>
      <c r="Q94" s="15"/>
      <c r="R94" s="15"/>
      <c r="S94" s="15"/>
      <c r="U94" s="6">
        <f>IF(Y94=0,#REF!,0)</f>
        <v>0</v>
      </c>
      <c r="V94" s="6">
        <f>IF(Y94=15,#REF!,0)</f>
        <v>0</v>
      </c>
      <c r="W94" s="6" t="e">
        <f>IF(Y94=21,#REF!,0)</f>
        <v>#REF!</v>
      </c>
      <c r="Y94" s="10">
        <v>21</v>
      </c>
      <c r="Z94" s="10">
        <f>F94*0.63732784549628</f>
        <v>0</v>
      </c>
      <c r="AA94" s="10">
        <f>F94*(1-0.63732784549628)</f>
        <v>0</v>
      </c>
      <c r="AH94" s="10">
        <f t="shared" si="18"/>
        <v>0</v>
      </c>
      <c r="AI94" s="10">
        <f t="shared" si="19"/>
        <v>0</v>
      </c>
      <c r="AJ94" s="11" t="s">
        <v>574</v>
      </c>
      <c r="AK94" s="11" t="s">
        <v>603</v>
      </c>
      <c r="AL94" s="9" t="s">
        <v>612</v>
      </c>
    </row>
    <row r="95" spans="1:38" ht="12.75">
      <c r="A95" s="121" t="s">
        <v>79</v>
      </c>
      <c r="B95" s="2" t="s">
        <v>245</v>
      </c>
      <c r="C95" s="2" t="s">
        <v>411</v>
      </c>
      <c r="D95" s="2" t="s">
        <v>542</v>
      </c>
      <c r="E95" s="7">
        <v>0.417</v>
      </c>
      <c r="F95" s="22">
        <v>0</v>
      </c>
      <c r="G95" s="18">
        <f t="shared" si="16"/>
        <v>0</v>
      </c>
      <c r="H95" s="7">
        <v>1</v>
      </c>
      <c r="I95" s="7">
        <f t="shared" si="17"/>
        <v>0.417</v>
      </c>
      <c r="J95" s="7"/>
      <c r="K95" s="15"/>
      <c r="L95" s="15"/>
      <c r="M95" s="15"/>
      <c r="N95" s="15"/>
      <c r="O95" s="15"/>
      <c r="P95" s="15"/>
      <c r="Q95" s="15"/>
      <c r="R95" s="15"/>
      <c r="S95" s="15"/>
      <c r="U95" s="7">
        <f>IF(Y95=0,#REF!,0)</f>
        <v>0</v>
      </c>
      <c r="V95" s="7">
        <f>IF(Y95=15,#REF!,0)</f>
        <v>0</v>
      </c>
      <c r="W95" s="7" t="e">
        <f>IF(Y95=21,#REF!,0)</f>
        <v>#REF!</v>
      </c>
      <c r="Y95" s="10">
        <v>21</v>
      </c>
      <c r="Z95" s="10">
        <f>F95*1</f>
        <v>0</v>
      </c>
      <c r="AA95" s="10">
        <f>F95*(1-1)</f>
        <v>0</v>
      </c>
      <c r="AH95" s="10">
        <f t="shared" si="18"/>
        <v>0</v>
      </c>
      <c r="AI95" s="10">
        <f t="shared" si="19"/>
        <v>0</v>
      </c>
      <c r="AJ95" s="11" t="s">
        <v>574</v>
      </c>
      <c r="AK95" s="11" t="s">
        <v>603</v>
      </c>
      <c r="AL95" s="9" t="s">
        <v>612</v>
      </c>
    </row>
    <row r="96" spans="1:32" ht="12.75">
      <c r="A96" s="68"/>
      <c r="B96" s="5" t="s">
        <v>43</v>
      </c>
      <c r="C96" s="480" t="s">
        <v>412</v>
      </c>
      <c r="D96" s="481"/>
      <c r="E96" s="481"/>
      <c r="F96" s="481"/>
      <c r="G96" s="19">
        <f>SUM(G97:G110)</f>
        <v>0</v>
      </c>
      <c r="H96" s="9"/>
      <c r="I96" s="13">
        <f>SUM(I97:I110)</f>
        <v>6.367857679999999</v>
      </c>
      <c r="J96" s="15"/>
      <c r="K96" s="13">
        <f>IF(L96="PR",#REF!,SUM(J97:J102))</f>
        <v>0</v>
      </c>
      <c r="L96" s="9" t="s">
        <v>556</v>
      </c>
      <c r="M96" s="13" t="e">
        <f>IF(L96="HS",#REF!,0)</f>
        <v>#REF!</v>
      </c>
      <c r="N96" s="13">
        <f>IF(L96="HS",G96-K96,0)</f>
        <v>0</v>
      </c>
      <c r="O96" s="13">
        <f>IF(L96="PS",#REF!,0)</f>
        <v>0</v>
      </c>
      <c r="P96" s="13">
        <f>IF(L96="PS",G96-K96,0)</f>
        <v>0</v>
      </c>
      <c r="Q96" s="13">
        <f>IF(L96="MP",#REF!,0)</f>
        <v>0</v>
      </c>
      <c r="R96" s="13">
        <f>IF(L96="MP",G96-K96,0)</f>
        <v>0</v>
      </c>
      <c r="S96" s="13">
        <f>IF(L96="OM",#REF!,0)</f>
        <v>0</v>
      </c>
      <c r="T96" s="9"/>
      <c r="AD96" s="13">
        <f>SUM(U97:U102)</f>
        <v>0</v>
      </c>
      <c r="AE96" s="13">
        <f>SUM(V97:V102)</f>
        <v>0</v>
      </c>
      <c r="AF96" s="13" t="e">
        <f>SUM(W97:W102)</f>
        <v>#REF!</v>
      </c>
    </row>
    <row r="97" spans="1:38" ht="12.75">
      <c r="A97" s="121" t="s">
        <v>80</v>
      </c>
      <c r="B97" s="1" t="s">
        <v>246</v>
      </c>
      <c r="C97" s="1" t="s">
        <v>413</v>
      </c>
      <c r="D97" s="1" t="s">
        <v>539</v>
      </c>
      <c r="E97" s="6">
        <v>1.21</v>
      </c>
      <c r="F97" s="22">
        <v>0</v>
      </c>
      <c r="G97" s="18">
        <f t="shared" si="16"/>
        <v>0</v>
      </c>
      <c r="H97" s="6">
        <v>2.52508</v>
      </c>
      <c r="I97" s="6">
        <f aca="true" t="shared" si="20" ref="I97:I102">E97*H97</f>
        <v>3.0553467999999997</v>
      </c>
      <c r="J97" s="6"/>
      <c r="K97" s="15"/>
      <c r="L97" s="15"/>
      <c r="M97" s="15"/>
      <c r="N97" s="15"/>
      <c r="O97" s="15"/>
      <c r="P97" s="15"/>
      <c r="Q97" s="15"/>
      <c r="R97" s="15"/>
      <c r="S97" s="15"/>
      <c r="U97" s="6">
        <f>IF(Y97=0,#REF!,0)</f>
        <v>0</v>
      </c>
      <c r="V97" s="6">
        <f>IF(Y97=15,#REF!,0)</f>
        <v>0</v>
      </c>
      <c r="W97" s="6" t="e">
        <f>IF(Y97=21,#REF!,0)</f>
        <v>#REF!</v>
      </c>
      <c r="Y97" s="10">
        <v>21</v>
      </c>
      <c r="Z97" s="10">
        <f>F97*0.664870180841561</f>
        <v>0</v>
      </c>
      <c r="AA97" s="10">
        <f>F97*(1-0.664870180841561)</f>
        <v>0</v>
      </c>
      <c r="AH97" s="10">
        <f aca="true" t="shared" si="21" ref="AH97:AH102">E97*Z97</f>
        <v>0</v>
      </c>
      <c r="AI97" s="10">
        <f aca="true" t="shared" si="22" ref="AI97:AI102">E97*AA97</f>
        <v>0</v>
      </c>
      <c r="AJ97" s="11" t="s">
        <v>575</v>
      </c>
      <c r="AK97" s="11" t="s">
        <v>603</v>
      </c>
      <c r="AL97" s="9" t="s">
        <v>612</v>
      </c>
    </row>
    <row r="98" spans="1:38" ht="12.75">
      <c r="A98" s="121" t="s">
        <v>81</v>
      </c>
      <c r="B98" s="1" t="s">
        <v>247</v>
      </c>
      <c r="C98" s="1" t="s">
        <v>414</v>
      </c>
      <c r="D98" s="1" t="s">
        <v>542</v>
      </c>
      <c r="E98" s="6">
        <v>0.047</v>
      </c>
      <c r="F98" s="22">
        <v>0</v>
      </c>
      <c r="G98" s="18">
        <f t="shared" si="16"/>
        <v>0</v>
      </c>
      <c r="H98" s="6">
        <v>1.05844</v>
      </c>
      <c r="I98" s="6">
        <f t="shared" si="20"/>
        <v>0.04974668</v>
      </c>
      <c r="J98" s="6"/>
      <c r="K98" s="15"/>
      <c r="L98" s="15"/>
      <c r="M98" s="15"/>
      <c r="N98" s="15"/>
      <c r="O98" s="15"/>
      <c r="P98" s="15"/>
      <c r="Q98" s="15"/>
      <c r="R98" s="15"/>
      <c r="S98" s="15"/>
      <c r="U98" s="6">
        <f>IF(Y98=0,#REF!,0)</f>
        <v>0</v>
      </c>
      <c r="V98" s="6">
        <f>IF(Y98=15,#REF!,0)</f>
        <v>0</v>
      </c>
      <c r="W98" s="6" t="e">
        <f>IF(Y98=21,#REF!,0)</f>
        <v>#REF!</v>
      </c>
      <c r="Y98" s="10">
        <v>21</v>
      </c>
      <c r="Z98" s="10">
        <f>F98*0.794386698057681</f>
        <v>0</v>
      </c>
      <c r="AA98" s="10">
        <f>F98*(1-0.794386698057681)</f>
        <v>0</v>
      </c>
      <c r="AH98" s="10">
        <f t="shared" si="21"/>
        <v>0</v>
      </c>
      <c r="AI98" s="10">
        <f t="shared" si="22"/>
        <v>0</v>
      </c>
      <c r="AJ98" s="11" t="s">
        <v>575</v>
      </c>
      <c r="AK98" s="11" t="s">
        <v>603</v>
      </c>
      <c r="AL98" s="9" t="s">
        <v>612</v>
      </c>
    </row>
    <row r="99" spans="1:38" ht="12.75">
      <c r="A99" s="121" t="s">
        <v>82</v>
      </c>
      <c r="B99" s="1" t="s">
        <v>248</v>
      </c>
      <c r="C99" s="1" t="s">
        <v>415</v>
      </c>
      <c r="D99" s="1" t="s">
        <v>540</v>
      </c>
      <c r="E99" s="6">
        <v>1.04</v>
      </c>
      <c r="F99" s="22">
        <v>0</v>
      </c>
      <c r="G99" s="18">
        <f t="shared" si="16"/>
        <v>0</v>
      </c>
      <c r="H99" s="6">
        <v>0.0324</v>
      </c>
      <c r="I99" s="6">
        <f t="shared" si="20"/>
        <v>0.033696</v>
      </c>
      <c r="J99" s="6"/>
      <c r="K99" s="15"/>
      <c r="L99" s="15"/>
      <c r="M99" s="15"/>
      <c r="N99" s="15"/>
      <c r="O99" s="15"/>
      <c r="P99" s="15"/>
      <c r="Q99" s="15"/>
      <c r="R99" s="15"/>
      <c r="S99" s="15"/>
      <c r="U99" s="6">
        <f>IF(Y99=0,#REF!,0)</f>
        <v>0</v>
      </c>
      <c r="V99" s="6">
        <f>IF(Y99=15,#REF!,0)</f>
        <v>0</v>
      </c>
      <c r="W99" s="6" t="e">
        <f>IF(Y99=21,#REF!,0)</f>
        <v>#REF!</v>
      </c>
      <c r="Y99" s="10">
        <v>21</v>
      </c>
      <c r="Z99" s="10">
        <f>F99*0.378779527559055</f>
        <v>0</v>
      </c>
      <c r="AA99" s="10">
        <f>F99*(1-0.378779527559055)</f>
        <v>0</v>
      </c>
      <c r="AH99" s="10">
        <f t="shared" si="21"/>
        <v>0</v>
      </c>
      <c r="AI99" s="10">
        <f t="shared" si="22"/>
        <v>0</v>
      </c>
      <c r="AJ99" s="11" t="s">
        <v>575</v>
      </c>
      <c r="AK99" s="11" t="s">
        <v>603</v>
      </c>
      <c r="AL99" s="9" t="s">
        <v>612</v>
      </c>
    </row>
    <row r="100" spans="1:38" ht="12.75">
      <c r="A100" s="121" t="s">
        <v>83</v>
      </c>
      <c r="B100" s="1" t="s">
        <v>249</v>
      </c>
      <c r="C100" s="1" t="s">
        <v>416</v>
      </c>
      <c r="D100" s="1" t="s">
        <v>540</v>
      </c>
      <c r="E100" s="6">
        <v>1.04</v>
      </c>
      <c r="F100" s="22">
        <v>0</v>
      </c>
      <c r="G100" s="18">
        <f t="shared" si="16"/>
        <v>0</v>
      </c>
      <c r="H100" s="6">
        <v>0</v>
      </c>
      <c r="I100" s="6">
        <f t="shared" si="20"/>
        <v>0</v>
      </c>
      <c r="J100" s="6"/>
      <c r="K100" s="15"/>
      <c r="L100" s="15"/>
      <c r="M100" s="15"/>
      <c r="N100" s="15"/>
      <c r="O100" s="15"/>
      <c r="P100" s="15"/>
      <c r="Q100" s="15"/>
      <c r="R100" s="15"/>
      <c r="S100" s="15"/>
      <c r="U100" s="6">
        <f>IF(Y100=0,#REF!,0)</f>
        <v>0</v>
      </c>
      <c r="V100" s="6">
        <f>IF(Y100=15,#REF!,0)</f>
        <v>0</v>
      </c>
      <c r="W100" s="6" t="e">
        <f>IF(Y100=21,#REF!,0)</f>
        <v>#REF!</v>
      </c>
      <c r="Y100" s="10">
        <v>21</v>
      </c>
      <c r="Z100" s="10">
        <f>F100*0</f>
        <v>0</v>
      </c>
      <c r="AA100" s="10">
        <f>F100*(1-0)</f>
        <v>0</v>
      </c>
      <c r="AH100" s="10">
        <f t="shared" si="21"/>
        <v>0</v>
      </c>
      <c r="AI100" s="10">
        <f t="shared" si="22"/>
        <v>0</v>
      </c>
      <c r="AJ100" s="11" t="s">
        <v>575</v>
      </c>
      <c r="AK100" s="11" t="s">
        <v>603</v>
      </c>
      <c r="AL100" s="9" t="s">
        <v>612</v>
      </c>
    </row>
    <row r="101" spans="1:38" ht="12.75">
      <c r="A101" s="121" t="s">
        <v>84</v>
      </c>
      <c r="B101" s="1" t="s">
        <v>250</v>
      </c>
      <c r="C101" s="1" t="s">
        <v>417</v>
      </c>
      <c r="D101" s="1" t="s">
        <v>540</v>
      </c>
      <c r="E101" s="6">
        <v>7.1</v>
      </c>
      <c r="F101" s="22">
        <v>0</v>
      </c>
      <c r="G101" s="18">
        <f t="shared" si="16"/>
        <v>0</v>
      </c>
      <c r="H101" s="6">
        <v>0.01693</v>
      </c>
      <c r="I101" s="6">
        <f t="shared" si="20"/>
        <v>0.120203</v>
      </c>
      <c r="J101" s="6"/>
      <c r="K101" s="15"/>
      <c r="L101" s="15"/>
      <c r="M101" s="15"/>
      <c r="N101" s="15"/>
      <c r="O101" s="15"/>
      <c r="P101" s="15"/>
      <c r="Q101" s="15"/>
      <c r="R101" s="15"/>
      <c r="S101" s="15"/>
      <c r="U101" s="6">
        <f>IF(Y101=0,#REF!,0)</f>
        <v>0</v>
      </c>
      <c r="V101" s="6">
        <f>IF(Y101=15,#REF!,0)</f>
        <v>0</v>
      </c>
      <c r="W101" s="6" t="e">
        <f>IF(Y101=21,#REF!,0)</f>
        <v>#REF!</v>
      </c>
      <c r="Y101" s="10">
        <v>21</v>
      </c>
      <c r="Z101" s="10">
        <f>F101*0.542551984877127</f>
        <v>0</v>
      </c>
      <c r="AA101" s="10">
        <f>F101*(1-0.542551984877127)</f>
        <v>0</v>
      </c>
      <c r="AH101" s="10">
        <f t="shared" si="21"/>
        <v>0</v>
      </c>
      <c r="AI101" s="10">
        <f t="shared" si="22"/>
        <v>0</v>
      </c>
      <c r="AJ101" s="11" t="s">
        <v>575</v>
      </c>
      <c r="AK101" s="11" t="s">
        <v>603</v>
      </c>
      <c r="AL101" s="9" t="s">
        <v>612</v>
      </c>
    </row>
    <row r="102" spans="1:38" ht="12.75">
      <c r="A102" s="121" t="s">
        <v>85</v>
      </c>
      <c r="B102" s="1" t="s">
        <v>251</v>
      </c>
      <c r="C102" s="1" t="s">
        <v>418</v>
      </c>
      <c r="D102" s="1" t="s">
        <v>540</v>
      </c>
      <c r="E102" s="6">
        <v>7.1</v>
      </c>
      <c r="F102" s="22">
        <v>0</v>
      </c>
      <c r="G102" s="18">
        <f t="shared" si="16"/>
        <v>0</v>
      </c>
      <c r="H102" s="6">
        <v>0</v>
      </c>
      <c r="I102" s="6">
        <f t="shared" si="20"/>
        <v>0</v>
      </c>
      <c r="J102" s="6"/>
      <c r="K102" s="15"/>
      <c r="L102" s="15"/>
      <c r="M102" s="15"/>
      <c r="N102" s="15"/>
      <c r="O102" s="15"/>
      <c r="P102" s="15"/>
      <c r="Q102" s="15"/>
      <c r="R102" s="15"/>
      <c r="S102" s="15"/>
      <c r="U102" s="6">
        <f>IF(Y102=0,#REF!,0)</f>
        <v>0</v>
      </c>
      <c r="V102" s="6">
        <f>IF(Y102=15,#REF!,0)</f>
        <v>0</v>
      </c>
      <c r="W102" s="6" t="e">
        <f>IF(Y102=21,#REF!,0)</f>
        <v>#REF!</v>
      </c>
      <c r="Y102" s="10">
        <v>21</v>
      </c>
      <c r="Z102" s="10">
        <f>F102*0</f>
        <v>0</v>
      </c>
      <c r="AA102" s="10">
        <f>F102*(1-0)</f>
        <v>0</v>
      </c>
      <c r="AH102" s="10">
        <f t="shared" si="21"/>
        <v>0</v>
      </c>
      <c r="AI102" s="10">
        <f t="shared" si="22"/>
        <v>0</v>
      </c>
      <c r="AJ102" s="11" t="s">
        <v>575</v>
      </c>
      <c r="AK102" s="11" t="s">
        <v>603</v>
      </c>
      <c r="AL102" s="9" t="s">
        <v>612</v>
      </c>
    </row>
    <row r="103" spans="1:38" ht="12.75">
      <c r="A103" s="121" t="s">
        <v>86</v>
      </c>
      <c r="B103" s="98" t="s">
        <v>874</v>
      </c>
      <c r="C103" s="98" t="s">
        <v>875</v>
      </c>
      <c r="D103" s="98" t="s">
        <v>889</v>
      </c>
      <c r="E103" s="6">
        <v>6.78</v>
      </c>
      <c r="F103" s="22">
        <v>0</v>
      </c>
      <c r="G103" s="18">
        <f aca="true" t="shared" si="23" ref="G103:G110">E103*F103</f>
        <v>0</v>
      </c>
      <c r="H103" s="123">
        <v>0.13964</v>
      </c>
      <c r="I103" s="6">
        <f aca="true" t="shared" si="24" ref="I103:I110">E103*H103</f>
        <v>0.9467591999999999</v>
      </c>
      <c r="J103" s="6"/>
      <c r="K103" s="15"/>
      <c r="L103" s="15"/>
      <c r="M103" s="15"/>
      <c r="N103" s="15"/>
      <c r="O103" s="15"/>
      <c r="P103" s="15"/>
      <c r="Q103" s="15"/>
      <c r="R103" s="15"/>
      <c r="S103" s="15"/>
      <c r="U103" s="6"/>
      <c r="V103" s="6"/>
      <c r="W103" s="6"/>
      <c r="Y103" s="10"/>
      <c r="Z103" s="10"/>
      <c r="AA103" s="10"/>
      <c r="AH103" s="10"/>
      <c r="AI103" s="10"/>
      <c r="AJ103" s="11"/>
      <c r="AK103" s="11"/>
      <c r="AL103" s="9"/>
    </row>
    <row r="104" spans="1:38" ht="12.75">
      <c r="A104" s="121" t="s">
        <v>87</v>
      </c>
      <c r="B104" s="98" t="s">
        <v>876</v>
      </c>
      <c r="C104" s="98" t="s">
        <v>877</v>
      </c>
      <c r="D104" s="98" t="s">
        <v>677</v>
      </c>
      <c r="E104" s="6">
        <v>947</v>
      </c>
      <c r="F104" s="22">
        <v>0</v>
      </c>
      <c r="G104" s="18">
        <f t="shared" si="23"/>
        <v>0</v>
      </c>
      <c r="H104" s="123">
        <v>0</v>
      </c>
      <c r="I104" s="6">
        <f t="shared" si="24"/>
        <v>0</v>
      </c>
      <c r="J104" s="6"/>
      <c r="K104" s="15"/>
      <c r="L104" s="15"/>
      <c r="M104" s="15"/>
      <c r="N104" s="15"/>
      <c r="O104" s="15"/>
      <c r="P104" s="15"/>
      <c r="Q104" s="15"/>
      <c r="R104" s="15"/>
      <c r="S104" s="15"/>
      <c r="U104" s="6"/>
      <c r="V104" s="6"/>
      <c r="W104" s="6"/>
      <c r="Y104" s="10"/>
      <c r="Z104" s="10"/>
      <c r="AA104" s="10"/>
      <c r="AH104" s="10"/>
      <c r="AI104" s="10"/>
      <c r="AJ104" s="11"/>
      <c r="AK104" s="11"/>
      <c r="AL104" s="9"/>
    </row>
    <row r="105" spans="1:38" ht="12.75">
      <c r="A105" s="121" t="s">
        <v>88</v>
      </c>
      <c r="B105" s="98" t="s">
        <v>878</v>
      </c>
      <c r="C105" s="98" t="s">
        <v>879</v>
      </c>
      <c r="D105" s="98" t="s">
        <v>541</v>
      </c>
      <c r="E105" s="6">
        <v>7.5</v>
      </c>
      <c r="F105" s="22">
        <v>0</v>
      </c>
      <c r="G105" s="18">
        <f t="shared" si="23"/>
        <v>0</v>
      </c>
      <c r="H105" s="123">
        <v>0.03461</v>
      </c>
      <c r="I105" s="6">
        <f t="shared" si="24"/>
        <v>0.259575</v>
      </c>
      <c r="J105" s="6"/>
      <c r="K105" s="15"/>
      <c r="L105" s="15"/>
      <c r="M105" s="15"/>
      <c r="N105" s="15"/>
      <c r="O105" s="15"/>
      <c r="P105" s="15"/>
      <c r="Q105" s="15"/>
      <c r="R105" s="15"/>
      <c r="S105" s="15"/>
      <c r="U105" s="6"/>
      <c r="V105" s="6"/>
      <c r="W105" s="6"/>
      <c r="Y105" s="10"/>
      <c r="Z105" s="10"/>
      <c r="AA105" s="10"/>
      <c r="AH105" s="10"/>
      <c r="AI105" s="10"/>
      <c r="AJ105" s="11"/>
      <c r="AK105" s="11"/>
      <c r="AL105" s="9"/>
    </row>
    <row r="106" spans="1:38" ht="12.75">
      <c r="A106" s="121" t="s">
        <v>89</v>
      </c>
      <c r="B106" s="98" t="s">
        <v>878</v>
      </c>
      <c r="C106" s="98" t="s">
        <v>880</v>
      </c>
      <c r="D106" s="98" t="s">
        <v>541</v>
      </c>
      <c r="E106" s="6">
        <v>3.3</v>
      </c>
      <c r="F106" s="22">
        <v>0</v>
      </c>
      <c r="G106" s="18">
        <f t="shared" si="23"/>
        <v>0</v>
      </c>
      <c r="H106" s="123">
        <v>0.03461</v>
      </c>
      <c r="I106" s="6">
        <f t="shared" si="24"/>
        <v>0.114213</v>
      </c>
      <c r="J106" s="6"/>
      <c r="K106" s="15"/>
      <c r="L106" s="15"/>
      <c r="M106" s="15"/>
      <c r="N106" s="15"/>
      <c r="O106" s="15"/>
      <c r="P106" s="15"/>
      <c r="Q106" s="15"/>
      <c r="R106" s="15"/>
      <c r="S106" s="15"/>
      <c r="U106" s="6"/>
      <c r="V106" s="6"/>
      <c r="W106" s="6"/>
      <c r="Y106" s="10"/>
      <c r="Z106" s="10"/>
      <c r="AA106" s="10"/>
      <c r="AH106" s="10"/>
      <c r="AI106" s="10"/>
      <c r="AJ106" s="11"/>
      <c r="AK106" s="11"/>
      <c r="AL106" s="9"/>
    </row>
    <row r="107" spans="1:38" ht="12.75">
      <c r="A107" s="121" t="s">
        <v>90</v>
      </c>
      <c r="B107" s="119" t="s">
        <v>881</v>
      </c>
      <c r="C107" s="119" t="s">
        <v>882</v>
      </c>
      <c r="D107" s="119" t="s">
        <v>543</v>
      </c>
      <c r="E107" s="6">
        <v>3</v>
      </c>
      <c r="F107" s="22">
        <v>0</v>
      </c>
      <c r="G107" s="18">
        <f t="shared" si="23"/>
        <v>0</v>
      </c>
      <c r="H107" s="124">
        <v>0.138</v>
      </c>
      <c r="I107" s="6">
        <f t="shared" si="24"/>
        <v>0.41400000000000003</v>
      </c>
      <c r="J107" s="6"/>
      <c r="K107" s="15"/>
      <c r="L107" s="15"/>
      <c r="M107" s="15"/>
      <c r="N107" s="15"/>
      <c r="O107" s="15"/>
      <c r="P107" s="15"/>
      <c r="Q107" s="15"/>
      <c r="R107" s="15"/>
      <c r="S107" s="15"/>
      <c r="U107" s="6"/>
      <c r="V107" s="6"/>
      <c r="W107" s="6"/>
      <c r="Y107" s="10"/>
      <c r="Z107" s="10"/>
      <c r="AA107" s="10"/>
      <c r="AH107" s="10"/>
      <c r="AI107" s="10"/>
      <c r="AJ107" s="11"/>
      <c r="AK107" s="11"/>
      <c r="AL107" s="9"/>
    </row>
    <row r="108" spans="1:38" ht="12.75">
      <c r="A108" s="121" t="s">
        <v>91</v>
      </c>
      <c r="B108" s="98" t="s">
        <v>883</v>
      </c>
      <c r="C108" s="98" t="s">
        <v>884</v>
      </c>
      <c r="D108" s="98" t="s">
        <v>539</v>
      </c>
      <c r="E108" s="6">
        <v>0.62</v>
      </c>
      <c r="F108" s="22">
        <v>0</v>
      </c>
      <c r="G108" s="18">
        <f t="shared" si="23"/>
        <v>0</v>
      </c>
      <c r="H108" s="123">
        <v>1.919</v>
      </c>
      <c r="I108" s="6">
        <f t="shared" si="24"/>
        <v>1.18978</v>
      </c>
      <c r="J108" s="6"/>
      <c r="K108" s="15"/>
      <c r="L108" s="15"/>
      <c r="M108" s="15"/>
      <c r="N108" s="15"/>
      <c r="O108" s="15"/>
      <c r="P108" s="15"/>
      <c r="Q108" s="15"/>
      <c r="R108" s="15"/>
      <c r="S108" s="15"/>
      <c r="U108" s="6"/>
      <c r="V108" s="6"/>
      <c r="W108" s="6"/>
      <c r="Y108" s="10"/>
      <c r="Z108" s="10"/>
      <c r="AA108" s="10"/>
      <c r="AH108" s="10"/>
      <c r="AI108" s="10"/>
      <c r="AJ108" s="11"/>
      <c r="AK108" s="11"/>
      <c r="AL108" s="9"/>
    </row>
    <row r="109" spans="1:38" ht="12.75">
      <c r="A109" s="121" t="s">
        <v>92</v>
      </c>
      <c r="B109" s="98" t="s">
        <v>885</v>
      </c>
      <c r="C109" s="98" t="s">
        <v>886</v>
      </c>
      <c r="D109" s="98" t="s">
        <v>541</v>
      </c>
      <c r="E109" s="6">
        <v>3.1</v>
      </c>
      <c r="F109" s="22">
        <v>0</v>
      </c>
      <c r="G109" s="18">
        <f t="shared" si="23"/>
        <v>0</v>
      </c>
      <c r="H109" s="123">
        <v>0.01808</v>
      </c>
      <c r="I109" s="6">
        <f t="shared" si="24"/>
        <v>0.056048</v>
      </c>
      <c r="J109" s="6"/>
      <c r="K109" s="15"/>
      <c r="L109" s="15"/>
      <c r="M109" s="15"/>
      <c r="N109" s="15"/>
      <c r="O109" s="15"/>
      <c r="P109" s="15"/>
      <c r="Q109" s="15"/>
      <c r="R109" s="15"/>
      <c r="S109" s="15"/>
      <c r="U109" s="6"/>
      <c r="V109" s="6"/>
      <c r="W109" s="6"/>
      <c r="Y109" s="10"/>
      <c r="Z109" s="10"/>
      <c r="AA109" s="10"/>
      <c r="AH109" s="10"/>
      <c r="AI109" s="10"/>
      <c r="AJ109" s="11"/>
      <c r="AK109" s="11"/>
      <c r="AL109" s="9"/>
    </row>
    <row r="110" spans="1:38" ht="12.75">
      <c r="A110" s="121" t="s">
        <v>93</v>
      </c>
      <c r="B110" s="98" t="s">
        <v>887</v>
      </c>
      <c r="C110" s="98" t="s">
        <v>888</v>
      </c>
      <c r="D110" s="98" t="s">
        <v>540</v>
      </c>
      <c r="E110" s="6">
        <v>1</v>
      </c>
      <c r="F110" s="22">
        <v>0</v>
      </c>
      <c r="G110" s="18">
        <f t="shared" si="23"/>
        <v>0</v>
      </c>
      <c r="H110" s="123">
        <v>0.12849</v>
      </c>
      <c r="I110" s="6">
        <f t="shared" si="24"/>
        <v>0.12849</v>
      </c>
      <c r="J110" s="6"/>
      <c r="K110" s="15"/>
      <c r="L110" s="15"/>
      <c r="M110" s="15"/>
      <c r="N110" s="15"/>
      <c r="O110" s="15"/>
      <c r="P110" s="15"/>
      <c r="Q110" s="15"/>
      <c r="R110" s="15"/>
      <c r="S110" s="15"/>
      <c r="U110" s="6"/>
      <c r="V110" s="6"/>
      <c r="W110" s="6"/>
      <c r="Y110" s="10"/>
      <c r="Z110" s="10"/>
      <c r="AA110" s="10"/>
      <c r="AH110" s="10"/>
      <c r="AI110" s="10"/>
      <c r="AJ110" s="11"/>
      <c r="AK110" s="11"/>
      <c r="AL110" s="9"/>
    </row>
    <row r="111" spans="1:32" ht="12.75">
      <c r="A111" s="68"/>
      <c r="B111" s="5" t="s">
        <v>45</v>
      </c>
      <c r="C111" s="480" t="s">
        <v>419</v>
      </c>
      <c r="D111" s="481"/>
      <c r="E111" s="481"/>
      <c r="F111" s="481"/>
      <c r="G111" s="19">
        <f>SUM(G112:G112)</f>
        <v>0</v>
      </c>
      <c r="H111" s="9"/>
      <c r="I111" s="13">
        <f>SUM(I112:I112)</f>
        <v>0.13094999999999998</v>
      </c>
      <c r="J111" s="15"/>
      <c r="K111" s="13">
        <f>IF(L111="PR",#REF!,SUM(J112:J112))</f>
        <v>0</v>
      </c>
      <c r="L111" s="9" t="s">
        <v>556</v>
      </c>
      <c r="M111" s="13" t="e">
        <f>IF(L111="HS",#REF!,0)</f>
        <v>#REF!</v>
      </c>
      <c r="N111" s="13">
        <f>IF(L111="HS",G111-K111,0)</f>
        <v>0</v>
      </c>
      <c r="O111" s="13">
        <f>IF(L111="PS",#REF!,0)</f>
        <v>0</v>
      </c>
      <c r="P111" s="13">
        <f>IF(L111="PS",G111-K111,0)</f>
        <v>0</v>
      </c>
      <c r="Q111" s="13">
        <f>IF(L111="MP",#REF!,0)</f>
        <v>0</v>
      </c>
      <c r="R111" s="13">
        <f>IF(L111="MP",G111-K111,0)</f>
        <v>0</v>
      </c>
      <c r="S111" s="13">
        <f>IF(L111="OM",#REF!,0)</f>
        <v>0</v>
      </c>
      <c r="T111" s="9"/>
      <c r="AD111" s="13">
        <f>SUM(U112:U112)</f>
        <v>0</v>
      </c>
      <c r="AE111" s="13">
        <f>SUM(V112:V112)</f>
        <v>0</v>
      </c>
      <c r="AF111" s="13" t="e">
        <f>SUM(W112:W112)</f>
        <v>#REF!</v>
      </c>
    </row>
    <row r="112" spans="1:38" ht="12.75">
      <c r="A112" s="121" t="s">
        <v>94</v>
      </c>
      <c r="B112" s="1" t="s">
        <v>252</v>
      </c>
      <c r="C112" s="1" t="s">
        <v>420</v>
      </c>
      <c r="D112" s="1" t="s">
        <v>540</v>
      </c>
      <c r="E112" s="6">
        <v>58.2</v>
      </c>
      <c r="F112" s="22">
        <v>0</v>
      </c>
      <c r="G112" s="18">
        <f>E112*F112</f>
        <v>0</v>
      </c>
      <c r="H112" s="6">
        <v>0.00225</v>
      </c>
      <c r="I112" s="6">
        <f>E112*H112</f>
        <v>0.13094999999999998</v>
      </c>
      <c r="J112" s="6"/>
      <c r="K112" s="15"/>
      <c r="L112" s="15"/>
      <c r="M112" s="15"/>
      <c r="N112" s="15"/>
      <c r="O112" s="15"/>
      <c r="P112" s="15"/>
      <c r="Q112" s="15"/>
      <c r="R112" s="15"/>
      <c r="S112" s="15"/>
      <c r="U112" s="6">
        <f>IF(Y112=0,#REF!,0)</f>
        <v>0</v>
      </c>
      <c r="V112" s="6">
        <f>IF(Y112=15,#REF!,0)</f>
        <v>0</v>
      </c>
      <c r="W112" s="6" t="e">
        <f>IF(Y112=21,#REF!,0)</f>
        <v>#REF!</v>
      </c>
      <c r="Y112" s="10">
        <v>21</v>
      </c>
      <c r="Z112" s="10">
        <f>F112*0.611648079306072</f>
        <v>0</v>
      </c>
      <c r="AA112" s="10">
        <f>F112*(1-0.611648079306072)</f>
        <v>0</v>
      </c>
      <c r="AH112" s="10">
        <f>E112*Z112</f>
        <v>0</v>
      </c>
      <c r="AI112" s="10">
        <f>E112*AA112</f>
        <v>0</v>
      </c>
      <c r="AJ112" s="11" t="s">
        <v>576</v>
      </c>
      <c r="AK112" s="11" t="s">
        <v>603</v>
      </c>
      <c r="AL112" s="9" t="s">
        <v>612</v>
      </c>
    </row>
    <row r="113" spans="1:32" ht="12.75">
      <c r="A113" s="68"/>
      <c r="B113" s="5" t="s">
        <v>46</v>
      </c>
      <c r="C113" s="480" t="s">
        <v>421</v>
      </c>
      <c r="D113" s="481"/>
      <c r="E113" s="481"/>
      <c r="F113" s="481"/>
      <c r="G113" s="19">
        <f>SUM(G114:G115)</f>
        <v>0</v>
      </c>
      <c r="H113" s="9"/>
      <c r="I113" s="13">
        <f>SUM(I114:I115)</f>
        <v>0.509</v>
      </c>
      <c r="J113" s="15"/>
      <c r="K113" s="13">
        <f>IF(L113="PR",#REF!,SUM(J114:J115))</f>
        <v>0</v>
      </c>
      <c r="L113" s="9" t="s">
        <v>556</v>
      </c>
      <c r="M113" s="13" t="e">
        <f>IF(L113="HS",#REF!,0)</f>
        <v>#REF!</v>
      </c>
      <c r="N113" s="13">
        <f>IF(L113="HS",G113-K113,0)</f>
        <v>0</v>
      </c>
      <c r="O113" s="13">
        <f>IF(L113="PS",#REF!,0)</f>
        <v>0</v>
      </c>
      <c r="P113" s="13">
        <f>IF(L113="PS",G113-K113,0)</f>
        <v>0</v>
      </c>
      <c r="Q113" s="13">
        <f>IF(L113="MP",#REF!,0)</f>
        <v>0</v>
      </c>
      <c r="R113" s="13">
        <f>IF(L113="MP",G113-K113,0)</f>
        <v>0</v>
      </c>
      <c r="S113" s="13">
        <f>IF(L113="OM",#REF!,0)</f>
        <v>0</v>
      </c>
      <c r="T113" s="9"/>
      <c r="AD113" s="13">
        <f>SUM(U114:U115)</f>
        <v>0</v>
      </c>
      <c r="AE113" s="13">
        <f>SUM(V114:V115)</f>
        <v>0</v>
      </c>
      <c r="AF113" s="13" t="e">
        <f>SUM(W114:W115)</f>
        <v>#REF!</v>
      </c>
    </row>
    <row r="114" spans="1:38" ht="12.75">
      <c r="A114" s="121" t="s">
        <v>95</v>
      </c>
      <c r="B114" s="1" t="s">
        <v>253</v>
      </c>
      <c r="C114" s="1" t="s">
        <v>422</v>
      </c>
      <c r="D114" s="1" t="s">
        <v>543</v>
      </c>
      <c r="E114" s="6">
        <v>1</v>
      </c>
      <c r="F114" s="22">
        <v>0</v>
      </c>
      <c r="G114" s="18">
        <f>E114*F114</f>
        <v>0</v>
      </c>
      <c r="H114" s="6">
        <v>0.37</v>
      </c>
      <c r="I114" s="6">
        <f>E114*H114</f>
        <v>0.37</v>
      </c>
      <c r="J114" s="6"/>
      <c r="K114" s="15"/>
      <c r="L114" s="15"/>
      <c r="M114" s="15"/>
      <c r="N114" s="15"/>
      <c r="O114" s="15"/>
      <c r="P114" s="15"/>
      <c r="Q114" s="15"/>
      <c r="R114" s="15"/>
      <c r="S114" s="15"/>
      <c r="U114" s="6">
        <f>IF(Y114=0,#REF!,0)</f>
        <v>0</v>
      </c>
      <c r="V114" s="6">
        <f>IF(Y114=15,#REF!,0)</f>
        <v>0</v>
      </c>
      <c r="W114" s="6" t="e">
        <f>IF(Y114=21,#REF!,0)</f>
        <v>#REF!</v>
      </c>
      <c r="Y114" s="10">
        <v>21</v>
      </c>
      <c r="Z114" s="10">
        <f>F114*0.23508353221957</f>
        <v>0</v>
      </c>
      <c r="AA114" s="10">
        <f>F114*(1-0.23508353221957)</f>
        <v>0</v>
      </c>
      <c r="AH114" s="10">
        <f>E114*Z114</f>
        <v>0</v>
      </c>
      <c r="AI114" s="10">
        <f>E114*AA114</f>
        <v>0</v>
      </c>
      <c r="AJ114" s="11" t="s">
        <v>577</v>
      </c>
      <c r="AK114" s="11" t="s">
        <v>603</v>
      </c>
      <c r="AL114" s="9" t="s">
        <v>612</v>
      </c>
    </row>
    <row r="115" spans="1:38" ht="12.75">
      <c r="A115" s="121" t="s">
        <v>96</v>
      </c>
      <c r="B115" s="1" t="s">
        <v>253</v>
      </c>
      <c r="C115" s="1" t="s">
        <v>423</v>
      </c>
      <c r="D115" s="1" t="s">
        <v>543</v>
      </c>
      <c r="E115" s="6">
        <v>1</v>
      </c>
      <c r="F115" s="22">
        <v>0</v>
      </c>
      <c r="G115" s="18">
        <f>E115*F115</f>
        <v>0</v>
      </c>
      <c r="H115" s="6">
        <v>0.139</v>
      </c>
      <c r="I115" s="6">
        <f>E115*H115</f>
        <v>0.139</v>
      </c>
      <c r="J115" s="6"/>
      <c r="K115" s="15"/>
      <c r="L115" s="15"/>
      <c r="M115" s="15"/>
      <c r="N115" s="15"/>
      <c r="O115" s="15"/>
      <c r="P115" s="15"/>
      <c r="Q115" s="15"/>
      <c r="R115" s="15"/>
      <c r="S115" s="15"/>
      <c r="U115" s="6">
        <f>IF(Y115=0,#REF!,0)</f>
        <v>0</v>
      </c>
      <c r="V115" s="6">
        <f>IF(Y115=15,#REF!,0)</f>
        <v>0</v>
      </c>
      <c r="W115" s="6" t="e">
        <f>IF(Y115=21,#REF!,0)</f>
        <v>#REF!</v>
      </c>
      <c r="Y115" s="10">
        <v>21</v>
      </c>
      <c r="Z115" s="10">
        <f>F115*0.246478873239437</f>
        <v>0</v>
      </c>
      <c r="AA115" s="10">
        <f>F115*(1-0.246478873239437)</f>
        <v>0</v>
      </c>
      <c r="AH115" s="10">
        <f>E115*Z115</f>
        <v>0</v>
      </c>
      <c r="AI115" s="10">
        <f>E115*AA115</f>
        <v>0</v>
      </c>
      <c r="AJ115" s="11" t="s">
        <v>577</v>
      </c>
      <c r="AK115" s="11" t="s">
        <v>603</v>
      </c>
      <c r="AL115" s="9" t="s">
        <v>612</v>
      </c>
    </row>
    <row r="116" spans="1:32" ht="12.75">
      <c r="A116" s="68"/>
      <c r="B116" s="5" t="s">
        <v>59</v>
      </c>
      <c r="C116" s="480" t="s">
        <v>424</v>
      </c>
      <c r="D116" s="481"/>
      <c r="E116" s="481"/>
      <c r="F116" s="481"/>
      <c r="G116" s="19">
        <f>SUM(G117:G125)</f>
        <v>0</v>
      </c>
      <c r="H116" s="9"/>
      <c r="I116" s="13">
        <f>SUM(I117:I125)</f>
        <v>85.50759709999998</v>
      </c>
      <c r="J116" s="15"/>
      <c r="K116" s="13">
        <f>IF(L116="PR",#REF!,SUM(J117:J123))</f>
        <v>0</v>
      </c>
      <c r="L116" s="9" t="s">
        <v>556</v>
      </c>
      <c r="M116" s="13" t="e">
        <f>IF(L116="HS",#REF!,0)</f>
        <v>#REF!</v>
      </c>
      <c r="N116" s="13">
        <f>IF(L116="HS",G116-K116,0)</f>
        <v>0</v>
      </c>
      <c r="O116" s="13">
        <f>IF(L116="PS",#REF!,0)</f>
        <v>0</v>
      </c>
      <c r="P116" s="13">
        <f>IF(L116="PS",G116-K116,0)</f>
        <v>0</v>
      </c>
      <c r="Q116" s="13">
        <f>IF(L116="MP",#REF!,0)</f>
        <v>0</v>
      </c>
      <c r="R116" s="13">
        <f>IF(L116="MP",G116-K116,0)</f>
        <v>0</v>
      </c>
      <c r="S116" s="13">
        <f>IF(L116="OM",#REF!,0)</f>
        <v>0</v>
      </c>
      <c r="T116" s="9"/>
      <c r="AD116" s="13">
        <f>SUM(U117:U123)</f>
        <v>0</v>
      </c>
      <c r="AE116" s="13">
        <f>SUM(V117:V123)</f>
        <v>0</v>
      </c>
      <c r="AF116" s="13" t="e">
        <f>SUM(W117:W123)</f>
        <v>#REF!</v>
      </c>
    </row>
    <row r="117" spans="1:38" ht="12.75">
      <c r="A117" s="121" t="s">
        <v>97</v>
      </c>
      <c r="B117" s="1" t="s">
        <v>254</v>
      </c>
      <c r="C117" s="1" t="s">
        <v>425</v>
      </c>
      <c r="D117" s="1" t="s">
        <v>540</v>
      </c>
      <c r="E117" s="6">
        <v>16.62</v>
      </c>
      <c r="F117" s="22">
        <v>0</v>
      </c>
      <c r="G117" s="18">
        <f aca="true" t="shared" si="25" ref="G117:G123">E117*F117</f>
        <v>0</v>
      </c>
      <c r="H117" s="6">
        <v>0.05545</v>
      </c>
      <c r="I117" s="6">
        <f aca="true" t="shared" si="26" ref="I117:I123">E117*H117</f>
        <v>0.921579</v>
      </c>
      <c r="J117" s="6"/>
      <c r="K117" s="15"/>
      <c r="L117" s="15"/>
      <c r="M117" s="15"/>
      <c r="N117" s="15"/>
      <c r="O117" s="15"/>
      <c r="P117" s="15"/>
      <c r="Q117" s="15"/>
      <c r="R117" s="15"/>
      <c r="S117" s="15"/>
      <c r="U117" s="6">
        <f>IF(Y117=0,#REF!,0)</f>
        <v>0</v>
      </c>
      <c r="V117" s="6">
        <f>IF(Y117=15,#REF!,0)</f>
        <v>0</v>
      </c>
      <c r="W117" s="6" t="e">
        <f>IF(Y117=21,#REF!,0)</f>
        <v>#REF!</v>
      </c>
      <c r="Y117" s="10">
        <v>21</v>
      </c>
      <c r="Z117" s="10">
        <f>F117*0.162090395480226</f>
        <v>0</v>
      </c>
      <c r="AA117" s="10">
        <f>F117*(1-0.162090395480226)</f>
        <v>0</v>
      </c>
      <c r="AH117" s="10">
        <f aca="true" t="shared" si="27" ref="AH117:AH123">E117*Z117</f>
        <v>0</v>
      </c>
      <c r="AI117" s="10">
        <f aca="true" t="shared" si="28" ref="AI117:AI123">E117*AA117</f>
        <v>0</v>
      </c>
      <c r="AJ117" s="11" t="s">
        <v>578</v>
      </c>
      <c r="AK117" s="11" t="s">
        <v>604</v>
      </c>
      <c r="AL117" s="9" t="s">
        <v>612</v>
      </c>
    </row>
    <row r="118" spans="1:38" ht="12.75">
      <c r="A118" s="121" t="s">
        <v>98</v>
      </c>
      <c r="B118" s="1" t="s">
        <v>255</v>
      </c>
      <c r="C118" s="1" t="s">
        <v>426</v>
      </c>
      <c r="D118" s="1" t="s">
        <v>540</v>
      </c>
      <c r="E118" s="6">
        <v>16.62</v>
      </c>
      <c r="F118" s="22">
        <v>0</v>
      </c>
      <c r="G118" s="18">
        <f t="shared" si="25"/>
        <v>0</v>
      </c>
      <c r="H118" s="6">
        <v>0.27994</v>
      </c>
      <c r="I118" s="6">
        <f t="shared" si="26"/>
        <v>4.6526028</v>
      </c>
      <c r="J118" s="6"/>
      <c r="K118" s="15"/>
      <c r="L118" s="15"/>
      <c r="M118" s="15"/>
      <c r="N118" s="15"/>
      <c r="O118" s="15"/>
      <c r="P118" s="15"/>
      <c r="Q118" s="15"/>
      <c r="R118" s="15"/>
      <c r="S118" s="15"/>
      <c r="U118" s="6">
        <f>IF(Y118=0,#REF!,0)</f>
        <v>0</v>
      </c>
      <c r="V118" s="6">
        <f>IF(Y118=15,#REF!,0)</f>
        <v>0</v>
      </c>
      <c r="W118" s="6" t="e">
        <f>IF(Y118=21,#REF!,0)</f>
        <v>#REF!</v>
      </c>
      <c r="Y118" s="10">
        <v>21</v>
      </c>
      <c r="Z118" s="10">
        <f>F118*0.858611987381704</f>
        <v>0</v>
      </c>
      <c r="AA118" s="10">
        <f>F118*(1-0.858611987381704)</f>
        <v>0</v>
      </c>
      <c r="AH118" s="10">
        <f t="shared" si="27"/>
        <v>0</v>
      </c>
      <c r="AI118" s="10">
        <f t="shared" si="28"/>
        <v>0</v>
      </c>
      <c r="AJ118" s="11" t="s">
        <v>578</v>
      </c>
      <c r="AK118" s="11" t="s">
        <v>604</v>
      </c>
      <c r="AL118" s="9" t="s">
        <v>612</v>
      </c>
    </row>
    <row r="119" spans="1:38" ht="12.75">
      <c r="A119" s="121" t="s">
        <v>99</v>
      </c>
      <c r="B119" s="1" t="s">
        <v>254</v>
      </c>
      <c r="C119" s="1" t="s">
        <v>972</v>
      </c>
      <c r="D119" s="1" t="s">
        <v>540</v>
      </c>
      <c r="E119" s="6">
        <v>150.22</v>
      </c>
      <c r="F119" s="22">
        <v>0</v>
      </c>
      <c r="G119" s="18">
        <f t="shared" si="25"/>
        <v>0</v>
      </c>
      <c r="H119" s="6">
        <v>0.05545</v>
      </c>
      <c r="I119" s="6">
        <f t="shared" si="26"/>
        <v>8.329699</v>
      </c>
      <c r="J119" s="6"/>
      <c r="K119" s="15"/>
      <c r="L119" s="15"/>
      <c r="M119" s="15"/>
      <c r="N119" s="15"/>
      <c r="O119" s="15"/>
      <c r="P119" s="15"/>
      <c r="Q119" s="15"/>
      <c r="R119" s="15"/>
      <c r="S119" s="15"/>
      <c r="U119" s="6">
        <f>IF(Y119=0,#REF!,0)</f>
        <v>0</v>
      </c>
      <c r="V119" s="6">
        <f>IF(Y119=15,#REF!,0)</f>
        <v>0</v>
      </c>
      <c r="W119" s="6" t="e">
        <f>IF(Y119=21,#REF!,0)</f>
        <v>#REF!</v>
      </c>
      <c r="Y119" s="10">
        <v>21</v>
      </c>
      <c r="Z119" s="10">
        <f>F119*0.162090395480226</f>
        <v>0</v>
      </c>
      <c r="AA119" s="10">
        <f>F119*(1-0.162090395480226)</f>
        <v>0</v>
      </c>
      <c r="AH119" s="10">
        <f t="shared" si="27"/>
        <v>0</v>
      </c>
      <c r="AI119" s="10">
        <f t="shared" si="28"/>
        <v>0</v>
      </c>
      <c r="AJ119" s="11" t="s">
        <v>578</v>
      </c>
      <c r="AK119" s="11" t="s">
        <v>604</v>
      </c>
      <c r="AL119" s="9" t="s">
        <v>612</v>
      </c>
    </row>
    <row r="120" spans="1:38" ht="12.75">
      <c r="A120" s="121" t="s">
        <v>100</v>
      </c>
      <c r="B120" s="1" t="s">
        <v>255</v>
      </c>
      <c r="C120" s="1" t="s">
        <v>427</v>
      </c>
      <c r="D120" s="1" t="s">
        <v>540</v>
      </c>
      <c r="E120" s="6">
        <v>150.22</v>
      </c>
      <c r="F120" s="22">
        <v>0</v>
      </c>
      <c r="G120" s="18">
        <f t="shared" si="25"/>
        <v>0</v>
      </c>
      <c r="H120" s="6">
        <v>0.27994</v>
      </c>
      <c r="I120" s="6">
        <f t="shared" si="26"/>
        <v>42.0525868</v>
      </c>
      <c r="J120" s="6"/>
      <c r="K120" s="15"/>
      <c r="L120" s="15"/>
      <c r="M120" s="15"/>
      <c r="N120" s="15"/>
      <c r="O120" s="15"/>
      <c r="P120" s="15"/>
      <c r="Q120" s="15"/>
      <c r="R120" s="15"/>
      <c r="S120" s="15"/>
      <c r="U120" s="6">
        <f>IF(Y120=0,#REF!,0)</f>
        <v>0</v>
      </c>
      <c r="V120" s="6">
        <f>IF(Y120=15,#REF!,0)</f>
        <v>0</v>
      </c>
      <c r="W120" s="6" t="e">
        <f>IF(Y120=21,#REF!,0)</f>
        <v>#REF!</v>
      </c>
      <c r="Y120" s="10">
        <v>21</v>
      </c>
      <c r="Z120" s="10">
        <f>F120*0.858611987381704</f>
        <v>0</v>
      </c>
      <c r="AA120" s="10">
        <f>F120*(1-0.858611987381704)</f>
        <v>0</v>
      </c>
      <c r="AH120" s="10">
        <f t="shared" si="27"/>
        <v>0</v>
      </c>
      <c r="AI120" s="10">
        <f t="shared" si="28"/>
        <v>0</v>
      </c>
      <c r="AJ120" s="11" t="s">
        <v>578</v>
      </c>
      <c r="AK120" s="11" t="s">
        <v>604</v>
      </c>
      <c r="AL120" s="9" t="s">
        <v>612</v>
      </c>
    </row>
    <row r="121" spans="1:38" ht="12.75">
      <c r="A121" s="121" t="s">
        <v>101</v>
      </c>
      <c r="B121" s="1" t="s">
        <v>254</v>
      </c>
      <c r="C121" s="1" t="s">
        <v>973</v>
      </c>
      <c r="D121" s="1" t="s">
        <v>540</v>
      </c>
      <c r="E121" s="6">
        <v>16.46</v>
      </c>
      <c r="F121" s="22">
        <v>0</v>
      </c>
      <c r="G121" s="18">
        <f t="shared" si="25"/>
        <v>0</v>
      </c>
      <c r="H121" s="6">
        <v>0.05545</v>
      </c>
      <c r="I121" s="6">
        <f t="shared" si="26"/>
        <v>0.912707</v>
      </c>
      <c r="J121" s="6"/>
      <c r="K121" s="15"/>
      <c r="L121" s="15"/>
      <c r="M121" s="15"/>
      <c r="N121" s="15"/>
      <c r="O121" s="15"/>
      <c r="P121" s="15"/>
      <c r="Q121" s="15"/>
      <c r="R121" s="15"/>
      <c r="S121" s="15"/>
      <c r="U121" s="6">
        <f>IF(Y121=0,#REF!,0)</f>
        <v>0</v>
      </c>
      <c r="V121" s="6">
        <f>IF(Y121=15,#REF!,0)</f>
        <v>0</v>
      </c>
      <c r="W121" s="6" t="e">
        <f>IF(Y121=21,#REF!,0)</f>
        <v>#REF!</v>
      </c>
      <c r="Y121" s="10">
        <v>21</v>
      </c>
      <c r="Z121" s="10">
        <f>F121*0.162090395480226</f>
        <v>0</v>
      </c>
      <c r="AA121" s="10">
        <f>F121*(1-0.162090395480226)</f>
        <v>0</v>
      </c>
      <c r="AH121" s="10">
        <f t="shared" si="27"/>
        <v>0</v>
      </c>
      <c r="AI121" s="10">
        <f t="shared" si="28"/>
        <v>0</v>
      </c>
      <c r="AJ121" s="11" t="s">
        <v>578</v>
      </c>
      <c r="AK121" s="11" t="s">
        <v>604</v>
      </c>
      <c r="AL121" s="9" t="s">
        <v>612</v>
      </c>
    </row>
    <row r="122" spans="1:38" ht="12.75">
      <c r="A122" s="121" t="s">
        <v>102</v>
      </c>
      <c r="B122" s="1" t="s">
        <v>255</v>
      </c>
      <c r="C122" s="1" t="s">
        <v>428</v>
      </c>
      <c r="D122" s="1" t="s">
        <v>540</v>
      </c>
      <c r="E122" s="6">
        <v>16.49</v>
      </c>
      <c r="F122" s="22">
        <v>0</v>
      </c>
      <c r="G122" s="18">
        <f t="shared" si="25"/>
        <v>0</v>
      </c>
      <c r="H122" s="6">
        <v>0.33075</v>
      </c>
      <c r="I122" s="6">
        <f t="shared" si="26"/>
        <v>5.454067499999999</v>
      </c>
      <c r="J122" s="6"/>
      <c r="K122" s="15"/>
      <c r="L122" s="15"/>
      <c r="M122" s="15"/>
      <c r="N122" s="15"/>
      <c r="O122" s="15"/>
      <c r="P122" s="15"/>
      <c r="Q122" s="15"/>
      <c r="R122" s="15"/>
      <c r="S122" s="15"/>
      <c r="U122" s="6">
        <f>IF(Y122=0,#REF!,0)</f>
        <v>0</v>
      </c>
      <c r="V122" s="6">
        <f>IF(Y122=15,#REF!,0)</f>
        <v>0</v>
      </c>
      <c r="W122" s="6" t="e">
        <f>IF(Y122=21,#REF!,0)</f>
        <v>#REF!</v>
      </c>
      <c r="Y122" s="10">
        <v>21</v>
      </c>
      <c r="Z122" s="10">
        <f>F122*0.858611987381704</f>
        <v>0</v>
      </c>
      <c r="AA122" s="10">
        <f>F122*(1-0.858611987381704)</f>
        <v>0</v>
      </c>
      <c r="AH122" s="10">
        <f t="shared" si="27"/>
        <v>0</v>
      </c>
      <c r="AI122" s="10">
        <f t="shared" si="28"/>
        <v>0</v>
      </c>
      <c r="AJ122" s="11" t="s">
        <v>578</v>
      </c>
      <c r="AK122" s="11" t="s">
        <v>604</v>
      </c>
      <c r="AL122" s="9" t="s">
        <v>612</v>
      </c>
    </row>
    <row r="123" spans="1:38" ht="12.75">
      <c r="A123" s="121" t="s">
        <v>103</v>
      </c>
      <c r="B123" s="1" t="s">
        <v>256</v>
      </c>
      <c r="C123" s="1" t="s">
        <v>429</v>
      </c>
      <c r="D123" s="1" t="s">
        <v>540</v>
      </c>
      <c r="E123" s="6">
        <v>10</v>
      </c>
      <c r="F123" s="22">
        <v>0</v>
      </c>
      <c r="G123" s="18">
        <f t="shared" si="25"/>
        <v>0</v>
      </c>
      <c r="H123" s="6">
        <v>1.21207</v>
      </c>
      <c r="I123" s="6">
        <f t="shared" si="26"/>
        <v>12.1207</v>
      </c>
      <c r="J123" s="6"/>
      <c r="K123" s="15"/>
      <c r="L123" s="15"/>
      <c r="M123" s="15"/>
      <c r="N123" s="15"/>
      <c r="O123" s="15"/>
      <c r="P123" s="15"/>
      <c r="Q123" s="15"/>
      <c r="R123" s="15"/>
      <c r="S123" s="15"/>
      <c r="U123" s="6">
        <f>IF(Y123=0,#REF!,0)</f>
        <v>0</v>
      </c>
      <c r="V123" s="6">
        <f>IF(Y123=15,#REF!,0)</f>
        <v>0</v>
      </c>
      <c r="W123" s="6" t="e">
        <f>IF(Y123=21,#REF!,0)</f>
        <v>#REF!</v>
      </c>
      <c r="Y123" s="10">
        <v>21</v>
      </c>
      <c r="Z123" s="10">
        <f>F123*0.716829357668552</f>
        <v>0</v>
      </c>
      <c r="AA123" s="10">
        <f>F123*(1-0.716829357668552)</f>
        <v>0</v>
      </c>
      <c r="AH123" s="10">
        <f t="shared" si="27"/>
        <v>0</v>
      </c>
      <c r="AI123" s="10">
        <f t="shared" si="28"/>
        <v>0</v>
      </c>
      <c r="AJ123" s="11" t="s">
        <v>578</v>
      </c>
      <c r="AK123" s="11" t="s">
        <v>604</v>
      </c>
      <c r="AL123" s="9" t="s">
        <v>612</v>
      </c>
    </row>
    <row r="124" spans="1:38" ht="12.75">
      <c r="A124" s="121" t="s">
        <v>104</v>
      </c>
      <c r="B124" s="98" t="s">
        <v>890</v>
      </c>
      <c r="C124" s="98" t="s">
        <v>891</v>
      </c>
      <c r="D124" s="98" t="s">
        <v>540</v>
      </c>
      <c r="E124" s="6">
        <v>15</v>
      </c>
      <c r="F124" s="22">
        <v>0</v>
      </c>
      <c r="G124" s="18">
        <f>E124*F124</f>
        <v>0</v>
      </c>
      <c r="H124" s="123">
        <v>0.63234</v>
      </c>
      <c r="I124" s="6">
        <f>E124*H124</f>
        <v>9.485100000000001</v>
      </c>
      <c r="J124" s="6"/>
      <c r="K124" s="15"/>
      <c r="L124" s="15"/>
      <c r="M124" s="15"/>
      <c r="N124" s="15"/>
      <c r="O124" s="15"/>
      <c r="P124" s="15"/>
      <c r="Q124" s="15"/>
      <c r="R124" s="15"/>
      <c r="S124" s="15"/>
      <c r="U124" s="6"/>
      <c r="V124" s="6"/>
      <c r="W124" s="6"/>
      <c r="Y124" s="10"/>
      <c r="Z124" s="10"/>
      <c r="AA124" s="10"/>
      <c r="AH124" s="10"/>
      <c r="AI124" s="10"/>
      <c r="AJ124" s="11"/>
      <c r="AK124" s="11"/>
      <c r="AL124" s="9"/>
    </row>
    <row r="125" spans="1:38" ht="12.75">
      <c r="A125" s="121" t="s">
        <v>105</v>
      </c>
      <c r="B125" s="98" t="s">
        <v>892</v>
      </c>
      <c r="C125" s="98" t="s">
        <v>893</v>
      </c>
      <c r="D125" s="98" t="s">
        <v>541</v>
      </c>
      <c r="E125" s="6">
        <v>13.5</v>
      </c>
      <c r="F125" s="22">
        <v>0</v>
      </c>
      <c r="G125" s="18">
        <f>E125*F125</f>
        <v>0</v>
      </c>
      <c r="H125" s="123">
        <v>0.11693</v>
      </c>
      <c r="I125" s="6">
        <f>E125*H125</f>
        <v>1.5785550000000002</v>
      </c>
      <c r="J125" s="6"/>
      <c r="K125" s="15"/>
      <c r="L125" s="15"/>
      <c r="M125" s="15"/>
      <c r="N125" s="15"/>
      <c r="O125" s="15"/>
      <c r="P125" s="15"/>
      <c r="Q125" s="15"/>
      <c r="R125" s="15"/>
      <c r="S125" s="15"/>
      <c r="U125" s="6"/>
      <c r="V125" s="6"/>
      <c r="W125" s="6"/>
      <c r="Y125" s="10"/>
      <c r="Z125" s="10"/>
      <c r="AA125" s="10"/>
      <c r="AH125" s="10"/>
      <c r="AI125" s="10"/>
      <c r="AJ125" s="11"/>
      <c r="AK125" s="11"/>
      <c r="AL125" s="9"/>
    </row>
    <row r="126" spans="1:32" ht="12.75">
      <c r="A126" s="68"/>
      <c r="B126" s="5" t="s">
        <v>61</v>
      </c>
      <c r="C126" s="480" t="s">
        <v>430</v>
      </c>
      <c r="D126" s="481"/>
      <c r="E126" s="481"/>
      <c r="F126" s="481"/>
      <c r="G126" s="19">
        <f>SUM(G127:G129)</f>
        <v>0</v>
      </c>
      <c r="H126" s="9"/>
      <c r="I126" s="13">
        <f>SUM(I127:I129)</f>
        <v>5.9524938999999994</v>
      </c>
      <c r="J126" s="15"/>
      <c r="K126" s="13">
        <f>IF(L126="PR",#REF!,SUM(J127:J129))</f>
        <v>0</v>
      </c>
      <c r="L126" s="9" t="s">
        <v>556</v>
      </c>
      <c r="M126" s="13" t="e">
        <f>IF(L126="HS",#REF!,0)</f>
        <v>#REF!</v>
      </c>
      <c r="N126" s="13">
        <f>IF(L126="HS",G126-K126,0)</f>
        <v>0</v>
      </c>
      <c r="O126" s="13">
        <f>IF(L126="PS",#REF!,0)</f>
        <v>0</v>
      </c>
      <c r="P126" s="13">
        <f>IF(L126="PS",G126-K126,0)</f>
        <v>0</v>
      </c>
      <c r="Q126" s="13">
        <f>IF(L126="MP",#REF!,0)</f>
        <v>0</v>
      </c>
      <c r="R126" s="13">
        <f>IF(L126="MP",G126-K126,0)</f>
        <v>0</v>
      </c>
      <c r="S126" s="13">
        <f>IF(L126="OM",#REF!,0)</f>
        <v>0</v>
      </c>
      <c r="T126" s="9"/>
      <c r="AD126" s="13">
        <f>SUM(U127:U129)</f>
        <v>0</v>
      </c>
      <c r="AE126" s="13">
        <f>SUM(V127:V129)</f>
        <v>0</v>
      </c>
      <c r="AF126" s="13" t="e">
        <f>SUM(W127:W129)</f>
        <v>#REF!</v>
      </c>
    </row>
    <row r="127" spans="1:38" ht="12.75">
      <c r="A127" s="121" t="s">
        <v>106</v>
      </c>
      <c r="B127" s="1" t="s">
        <v>257</v>
      </c>
      <c r="C127" s="1" t="s">
        <v>431</v>
      </c>
      <c r="D127" s="1" t="s">
        <v>540</v>
      </c>
      <c r="E127" s="6">
        <v>63.66</v>
      </c>
      <c r="F127" s="22">
        <v>0</v>
      </c>
      <c r="G127" s="18">
        <f>E127*F127</f>
        <v>0</v>
      </c>
      <c r="H127" s="6">
        <v>0.04806</v>
      </c>
      <c r="I127" s="6">
        <f>E127*H127</f>
        <v>3.0594995999999997</v>
      </c>
      <c r="J127" s="6"/>
      <c r="K127" s="15"/>
      <c r="L127" s="15"/>
      <c r="M127" s="15"/>
      <c r="N127" s="15"/>
      <c r="O127" s="15"/>
      <c r="P127" s="15"/>
      <c r="Q127" s="15"/>
      <c r="R127" s="15"/>
      <c r="S127" s="15"/>
      <c r="U127" s="6">
        <f>IF(Y127=0,#REF!,0)</f>
        <v>0</v>
      </c>
      <c r="V127" s="6">
        <f>IF(Y127=15,#REF!,0)</f>
        <v>0</v>
      </c>
      <c r="W127" s="6" t="e">
        <f>IF(Y127=21,#REF!,0)</f>
        <v>#REF!</v>
      </c>
      <c r="Y127" s="10">
        <v>21</v>
      </c>
      <c r="Z127" s="10">
        <f>F127*0.180479233226837</f>
        <v>0</v>
      </c>
      <c r="AA127" s="10">
        <f>F127*(1-0.180479233226837)</f>
        <v>0</v>
      </c>
      <c r="AH127" s="10">
        <f>E127*Z127</f>
        <v>0</v>
      </c>
      <c r="AI127" s="10">
        <f>E127*AA127</f>
        <v>0</v>
      </c>
      <c r="AJ127" s="11" t="s">
        <v>579</v>
      </c>
      <c r="AK127" s="11" t="s">
        <v>605</v>
      </c>
      <c r="AL127" s="9" t="s">
        <v>612</v>
      </c>
    </row>
    <row r="128" spans="1:38" ht="12.75">
      <c r="A128" s="121" t="s">
        <v>107</v>
      </c>
      <c r="B128" s="1" t="s">
        <v>257</v>
      </c>
      <c r="C128" s="1" t="s">
        <v>432</v>
      </c>
      <c r="D128" s="1" t="s">
        <v>540</v>
      </c>
      <c r="E128" s="6">
        <v>57.98</v>
      </c>
      <c r="F128" s="22">
        <v>0</v>
      </c>
      <c r="G128" s="18">
        <f>E128*F128</f>
        <v>0</v>
      </c>
      <c r="H128" s="6">
        <v>0.04806</v>
      </c>
      <c r="I128" s="6">
        <f>E128*H128</f>
        <v>2.7865187999999996</v>
      </c>
      <c r="J128" s="6"/>
      <c r="K128" s="15"/>
      <c r="L128" s="15"/>
      <c r="M128" s="15"/>
      <c r="N128" s="15"/>
      <c r="O128" s="15"/>
      <c r="P128" s="15"/>
      <c r="Q128" s="15"/>
      <c r="R128" s="15"/>
      <c r="S128" s="15"/>
      <c r="U128" s="6">
        <f>IF(Y128=0,#REF!,0)</f>
        <v>0</v>
      </c>
      <c r="V128" s="6">
        <f>IF(Y128=15,#REF!,0)</f>
        <v>0</v>
      </c>
      <c r="W128" s="6" t="e">
        <f>IF(Y128=21,#REF!,0)</f>
        <v>#REF!</v>
      </c>
      <c r="Y128" s="10">
        <v>21</v>
      </c>
      <c r="Z128" s="10">
        <f>F128*0.180479233226837</f>
        <v>0</v>
      </c>
      <c r="AA128" s="10">
        <f>F128*(1-0.180479233226837)</f>
        <v>0</v>
      </c>
      <c r="AH128" s="10">
        <f>E128*Z128</f>
        <v>0</v>
      </c>
      <c r="AI128" s="10">
        <f>E128*AA128</f>
        <v>0</v>
      </c>
      <c r="AJ128" s="11" t="s">
        <v>579</v>
      </c>
      <c r="AK128" s="11" t="s">
        <v>605</v>
      </c>
      <c r="AL128" s="9" t="s">
        <v>612</v>
      </c>
    </row>
    <row r="129" spans="1:38" ht="12.75">
      <c r="A129" s="121" t="s">
        <v>108</v>
      </c>
      <c r="B129" s="1" t="s">
        <v>258</v>
      </c>
      <c r="C129" s="1" t="s">
        <v>433</v>
      </c>
      <c r="D129" s="1" t="s">
        <v>540</v>
      </c>
      <c r="E129" s="6">
        <v>3.05</v>
      </c>
      <c r="F129" s="22">
        <v>0</v>
      </c>
      <c r="G129" s="18">
        <f>E129*F129</f>
        <v>0</v>
      </c>
      <c r="H129" s="6">
        <v>0.03491</v>
      </c>
      <c r="I129" s="6">
        <f>E129*H129</f>
        <v>0.10647549999999999</v>
      </c>
      <c r="J129" s="6"/>
      <c r="K129" s="15"/>
      <c r="L129" s="15"/>
      <c r="M129" s="15"/>
      <c r="N129" s="15"/>
      <c r="O129" s="15"/>
      <c r="P129" s="15"/>
      <c r="Q129" s="15"/>
      <c r="R129" s="15"/>
      <c r="S129" s="15"/>
      <c r="U129" s="6">
        <f>IF(Y129=0,#REF!,0)</f>
        <v>0</v>
      </c>
      <c r="V129" s="6">
        <f>IF(Y129=15,#REF!,0)</f>
        <v>0</v>
      </c>
      <c r="W129" s="6" t="e">
        <f>IF(Y129=21,#REF!,0)</f>
        <v>#REF!</v>
      </c>
      <c r="Y129" s="10">
        <v>21</v>
      </c>
      <c r="Z129" s="10">
        <f>F129*0.263658536585366</f>
        <v>0</v>
      </c>
      <c r="AA129" s="10">
        <f>F129*(1-0.263658536585366)</f>
        <v>0</v>
      </c>
      <c r="AH129" s="10">
        <f>E129*Z129</f>
        <v>0</v>
      </c>
      <c r="AI129" s="10">
        <f>E129*AA129</f>
        <v>0</v>
      </c>
      <c r="AJ129" s="11" t="s">
        <v>579</v>
      </c>
      <c r="AK129" s="11" t="s">
        <v>605</v>
      </c>
      <c r="AL129" s="9" t="s">
        <v>612</v>
      </c>
    </row>
    <row r="130" spans="1:32" ht="12.75">
      <c r="A130" s="68"/>
      <c r="B130" s="5" t="s">
        <v>62</v>
      </c>
      <c r="C130" s="480" t="s">
        <v>434</v>
      </c>
      <c r="D130" s="481"/>
      <c r="E130" s="481"/>
      <c r="F130" s="481"/>
      <c r="G130" s="19">
        <f>SUM(G131:G136)</f>
        <v>0</v>
      </c>
      <c r="H130" s="9"/>
      <c r="I130" s="13">
        <f>SUM(I131:I136)</f>
        <v>1.3579984</v>
      </c>
      <c r="J130" s="15"/>
      <c r="K130" s="13">
        <f>IF(L130="PR",#REF!,SUM(J131:J136))</f>
        <v>0</v>
      </c>
      <c r="L130" s="9" t="s">
        <v>556</v>
      </c>
      <c r="M130" s="13" t="e">
        <f>IF(L130="HS",#REF!,0)</f>
        <v>#REF!</v>
      </c>
      <c r="N130" s="13">
        <f>IF(L130="HS",G130-K130,0)</f>
        <v>0</v>
      </c>
      <c r="O130" s="13">
        <f>IF(L130="PS",#REF!,0)</f>
        <v>0</v>
      </c>
      <c r="P130" s="13">
        <f>IF(L130="PS",G130-K130,0)</f>
        <v>0</v>
      </c>
      <c r="Q130" s="13">
        <f>IF(L130="MP",#REF!,0)</f>
        <v>0</v>
      </c>
      <c r="R130" s="13">
        <f>IF(L130="MP",G130-K130,0)</f>
        <v>0</v>
      </c>
      <c r="S130" s="13">
        <f>IF(L130="OM",#REF!,0)</f>
        <v>0</v>
      </c>
      <c r="T130" s="9"/>
      <c r="AD130" s="13">
        <f>SUM(U131:U136)</f>
        <v>0</v>
      </c>
      <c r="AE130" s="13">
        <f>SUM(V131:V136)</f>
        <v>0</v>
      </c>
      <c r="AF130" s="13" t="e">
        <f>SUM(W131:W136)</f>
        <v>#REF!</v>
      </c>
    </row>
    <row r="131" spans="1:38" ht="12.75">
      <c r="A131" s="121" t="s">
        <v>109</v>
      </c>
      <c r="B131" s="1" t="s">
        <v>259</v>
      </c>
      <c r="C131" s="1" t="s">
        <v>435</v>
      </c>
      <c r="D131" s="1" t="s">
        <v>540</v>
      </c>
      <c r="E131" s="6">
        <v>40</v>
      </c>
      <c r="F131" s="22">
        <v>0</v>
      </c>
      <c r="G131" s="18">
        <f aca="true" t="shared" si="29" ref="G131:G141">E131*F131</f>
        <v>0</v>
      </c>
      <c r="H131" s="6">
        <v>0.01968</v>
      </c>
      <c r="I131" s="6">
        <f aca="true" t="shared" si="30" ref="I131:I136">E131*H131</f>
        <v>0.7872</v>
      </c>
      <c r="J131" s="6"/>
      <c r="K131" s="15"/>
      <c r="L131" s="15"/>
      <c r="M131" s="15"/>
      <c r="N131" s="15"/>
      <c r="O131" s="15"/>
      <c r="P131" s="15"/>
      <c r="Q131" s="15"/>
      <c r="R131" s="15"/>
      <c r="S131" s="15"/>
      <c r="U131" s="6">
        <f>IF(Y131=0,#REF!,0)</f>
        <v>0</v>
      </c>
      <c r="V131" s="6">
        <f>IF(Y131=15,#REF!,0)</f>
        <v>0</v>
      </c>
      <c r="W131" s="6" t="e">
        <f>IF(Y131=21,#REF!,0)</f>
        <v>#REF!</v>
      </c>
      <c r="Y131" s="10">
        <v>21</v>
      </c>
      <c r="Z131" s="10">
        <f>F131*0.0670958083832335</f>
        <v>0</v>
      </c>
      <c r="AA131" s="10">
        <f>F131*(1-0.0670958083832335)</f>
        <v>0</v>
      </c>
      <c r="AH131" s="10">
        <f aca="true" t="shared" si="31" ref="AH131:AH136">E131*Z131</f>
        <v>0</v>
      </c>
      <c r="AI131" s="10">
        <f aca="true" t="shared" si="32" ref="AI131:AI136">E131*AA131</f>
        <v>0</v>
      </c>
      <c r="AJ131" s="11" t="s">
        <v>580</v>
      </c>
      <c r="AK131" s="11" t="s">
        <v>605</v>
      </c>
      <c r="AL131" s="9" t="s">
        <v>612</v>
      </c>
    </row>
    <row r="132" spans="1:38" ht="12.75">
      <c r="A132" s="121" t="s">
        <v>110</v>
      </c>
      <c r="B132" s="1" t="s">
        <v>260</v>
      </c>
      <c r="C132" s="1" t="s">
        <v>436</v>
      </c>
      <c r="D132" s="1" t="s">
        <v>540</v>
      </c>
      <c r="E132" s="6">
        <v>0.48</v>
      </c>
      <c r="F132" s="22">
        <v>0</v>
      </c>
      <c r="G132" s="18">
        <f t="shared" si="29"/>
        <v>0</v>
      </c>
      <c r="H132" s="6">
        <v>0.01722</v>
      </c>
      <c r="I132" s="6">
        <f t="shared" si="30"/>
        <v>0.0082656</v>
      </c>
      <c r="J132" s="6"/>
      <c r="K132" s="15"/>
      <c r="L132" s="15"/>
      <c r="M132" s="15"/>
      <c r="N132" s="15"/>
      <c r="O132" s="15"/>
      <c r="P132" s="15"/>
      <c r="Q132" s="15"/>
      <c r="R132" s="15"/>
      <c r="S132" s="15"/>
      <c r="U132" s="6">
        <f>IF(Y132=0,#REF!,0)</f>
        <v>0</v>
      </c>
      <c r="V132" s="6">
        <f>IF(Y132=15,#REF!,0)</f>
        <v>0</v>
      </c>
      <c r="W132" s="6" t="e">
        <f>IF(Y132=21,#REF!,0)</f>
        <v>#REF!</v>
      </c>
      <c r="Y132" s="10">
        <v>21</v>
      </c>
      <c r="Z132" s="10">
        <f>F132*0.0812422360248447</f>
        <v>0</v>
      </c>
      <c r="AA132" s="10">
        <f>F132*(1-0.0812422360248447)</f>
        <v>0</v>
      </c>
      <c r="AH132" s="10">
        <f t="shared" si="31"/>
        <v>0</v>
      </c>
      <c r="AI132" s="10">
        <f t="shared" si="32"/>
        <v>0</v>
      </c>
      <c r="AJ132" s="11" t="s">
        <v>580</v>
      </c>
      <c r="AK132" s="11" t="s">
        <v>605</v>
      </c>
      <c r="AL132" s="9" t="s">
        <v>612</v>
      </c>
    </row>
    <row r="133" spans="1:38" ht="12.75">
      <c r="A133" s="121" t="s">
        <v>111</v>
      </c>
      <c r="B133" s="1" t="s">
        <v>261</v>
      </c>
      <c r="C133" s="98" t="s">
        <v>867</v>
      </c>
      <c r="D133" s="1" t="s">
        <v>540</v>
      </c>
      <c r="E133" s="6">
        <v>5.51</v>
      </c>
      <c r="F133" s="22">
        <v>0</v>
      </c>
      <c r="G133" s="18">
        <f t="shared" si="29"/>
        <v>0</v>
      </c>
      <c r="H133" s="6">
        <v>0.01111</v>
      </c>
      <c r="I133" s="6">
        <f t="shared" si="30"/>
        <v>0.061216099999999996</v>
      </c>
      <c r="J133" s="6"/>
      <c r="K133" s="15"/>
      <c r="L133" s="15"/>
      <c r="M133" s="15"/>
      <c r="N133" s="15"/>
      <c r="O133" s="15"/>
      <c r="P133" s="15"/>
      <c r="Q133" s="15"/>
      <c r="R133" s="15"/>
      <c r="S133" s="15"/>
      <c r="U133" s="6">
        <f>IF(Y133=0,#REF!,0)</f>
        <v>0</v>
      </c>
      <c r="V133" s="6">
        <f>IF(Y133=15,#REF!,0)</f>
        <v>0</v>
      </c>
      <c r="W133" s="6" t="e">
        <f>IF(Y133=21,#REF!,0)</f>
        <v>#REF!</v>
      </c>
      <c r="Y133" s="10">
        <v>21</v>
      </c>
      <c r="Z133" s="10">
        <f>F133*0.62835904628331</f>
        <v>0</v>
      </c>
      <c r="AA133" s="10">
        <f>F133*(1-0.62835904628331)</f>
        <v>0</v>
      </c>
      <c r="AH133" s="10">
        <f t="shared" si="31"/>
        <v>0</v>
      </c>
      <c r="AI133" s="10">
        <f t="shared" si="32"/>
        <v>0</v>
      </c>
      <c r="AJ133" s="11" t="s">
        <v>580</v>
      </c>
      <c r="AK133" s="11" t="s">
        <v>605</v>
      </c>
      <c r="AL133" s="9" t="s">
        <v>612</v>
      </c>
    </row>
    <row r="134" spans="1:38" s="252" customFormat="1" ht="12.75">
      <c r="A134" s="121" t="s">
        <v>112</v>
      </c>
      <c r="B134" s="1" t="s">
        <v>262</v>
      </c>
      <c r="C134" s="254" t="s">
        <v>958</v>
      </c>
      <c r="D134" s="1" t="s">
        <v>540</v>
      </c>
      <c r="E134" s="6">
        <v>11.02</v>
      </c>
      <c r="F134" s="22">
        <v>0</v>
      </c>
      <c r="G134" s="18">
        <f t="shared" si="29"/>
        <v>0</v>
      </c>
      <c r="H134" s="6">
        <v>0.01466</v>
      </c>
      <c r="I134" s="6">
        <f t="shared" si="30"/>
        <v>0.16155319999999998</v>
      </c>
      <c r="J134" s="6"/>
      <c r="K134" s="251"/>
      <c r="L134" s="251"/>
      <c r="M134" s="251"/>
      <c r="N134" s="251"/>
      <c r="O134" s="251"/>
      <c r="P134" s="251"/>
      <c r="Q134" s="251"/>
      <c r="R134" s="251"/>
      <c r="S134" s="251"/>
      <c r="U134" s="6">
        <f>IF(Y134=0,#REF!,0)</f>
        <v>0</v>
      </c>
      <c r="V134" s="6">
        <f>IF(Y134=15,#REF!,0)</f>
        <v>0</v>
      </c>
      <c r="W134" s="6" t="e">
        <f>IF(Y134=21,#REF!,0)</f>
        <v>#REF!</v>
      </c>
      <c r="Y134" s="10">
        <v>21</v>
      </c>
      <c r="Z134" s="10">
        <f>F134*0.59694</f>
        <v>0</v>
      </c>
      <c r="AA134" s="10">
        <f>F134*(1-0.59694)</f>
        <v>0</v>
      </c>
      <c r="AH134" s="10">
        <f t="shared" si="31"/>
        <v>0</v>
      </c>
      <c r="AI134" s="10">
        <f t="shared" si="32"/>
        <v>0</v>
      </c>
      <c r="AJ134" s="11" t="s">
        <v>580</v>
      </c>
      <c r="AK134" s="11" t="s">
        <v>605</v>
      </c>
      <c r="AL134" s="253" t="s">
        <v>612</v>
      </c>
    </row>
    <row r="135" spans="1:38" ht="12.75">
      <c r="A135" s="121" t="s">
        <v>113</v>
      </c>
      <c r="B135" s="1" t="s">
        <v>263</v>
      </c>
      <c r="C135" s="1" t="s">
        <v>437</v>
      </c>
      <c r="D135" s="1" t="s">
        <v>540</v>
      </c>
      <c r="E135" s="6">
        <v>39.78</v>
      </c>
      <c r="F135" s="22">
        <v>0</v>
      </c>
      <c r="G135" s="18">
        <f t="shared" si="29"/>
        <v>0</v>
      </c>
      <c r="H135" s="6">
        <v>0.0042</v>
      </c>
      <c r="I135" s="6">
        <f t="shared" si="30"/>
        <v>0.167076</v>
      </c>
      <c r="J135" s="6"/>
      <c r="K135" s="15"/>
      <c r="L135" s="15"/>
      <c r="M135" s="15"/>
      <c r="N135" s="15"/>
      <c r="O135" s="15"/>
      <c r="P135" s="15"/>
      <c r="Q135" s="15"/>
      <c r="R135" s="15"/>
      <c r="S135" s="15"/>
      <c r="U135" s="6">
        <f>IF(Y135=0,#REF!,0)</f>
        <v>0</v>
      </c>
      <c r="V135" s="6">
        <f>IF(Y135=15,#REF!,0)</f>
        <v>0</v>
      </c>
      <c r="W135" s="6" t="e">
        <f>IF(Y135=21,#REF!,0)</f>
        <v>#REF!</v>
      </c>
      <c r="Y135" s="10">
        <v>21</v>
      </c>
      <c r="Z135" s="10">
        <f>F135*0.217786561264822</f>
        <v>0</v>
      </c>
      <c r="AA135" s="10">
        <f>F135*(1-0.217786561264822)</f>
        <v>0</v>
      </c>
      <c r="AH135" s="10">
        <f t="shared" si="31"/>
        <v>0</v>
      </c>
      <c r="AI135" s="10">
        <f t="shared" si="32"/>
        <v>0</v>
      </c>
      <c r="AJ135" s="11" t="s">
        <v>580</v>
      </c>
      <c r="AK135" s="11" t="s">
        <v>605</v>
      </c>
      <c r="AL135" s="9" t="s">
        <v>612</v>
      </c>
    </row>
    <row r="136" spans="1:38" ht="12.75">
      <c r="A136" s="121" t="s">
        <v>114</v>
      </c>
      <c r="B136" s="1" t="s">
        <v>264</v>
      </c>
      <c r="C136" s="98" t="s">
        <v>894</v>
      </c>
      <c r="D136" s="1" t="s">
        <v>540</v>
      </c>
      <c r="E136" s="6">
        <v>11.25</v>
      </c>
      <c r="F136" s="22">
        <v>0</v>
      </c>
      <c r="G136" s="18">
        <f t="shared" si="29"/>
        <v>0</v>
      </c>
      <c r="H136" s="6">
        <v>0.01535</v>
      </c>
      <c r="I136" s="6">
        <f t="shared" si="30"/>
        <v>0.17268750000000002</v>
      </c>
      <c r="J136" s="6"/>
      <c r="K136" s="15"/>
      <c r="L136" s="15"/>
      <c r="M136" s="15"/>
      <c r="N136" s="15"/>
      <c r="O136" s="15"/>
      <c r="P136" s="15"/>
      <c r="Q136" s="15"/>
      <c r="R136" s="15"/>
      <c r="S136" s="15"/>
      <c r="U136" s="6">
        <f>IF(Y136=0,#REF!,0)</f>
        <v>0</v>
      </c>
      <c r="V136" s="6">
        <f>IF(Y136=15,#REF!,0)</f>
        <v>0</v>
      </c>
      <c r="W136" s="6" t="e">
        <f>IF(Y136=21,#REF!,0)</f>
        <v>#REF!</v>
      </c>
      <c r="Y136" s="10">
        <v>21</v>
      </c>
      <c r="Z136" s="10">
        <f>F136*0.620113100848256</f>
        <v>0</v>
      </c>
      <c r="AA136" s="10">
        <f>F136*(1-0.620113100848256)</f>
        <v>0</v>
      </c>
      <c r="AH136" s="10">
        <f t="shared" si="31"/>
        <v>0</v>
      </c>
      <c r="AI136" s="10">
        <f t="shared" si="32"/>
        <v>0</v>
      </c>
      <c r="AJ136" s="11" t="s">
        <v>580</v>
      </c>
      <c r="AK136" s="11" t="s">
        <v>605</v>
      </c>
      <c r="AL136" s="9" t="s">
        <v>612</v>
      </c>
    </row>
    <row r="137" spans="1:32" ht="12.75">
      <c r="A137" s="68"/>
      <c r="B137" s="5" t="s">
        <v>63</v>
      </c>
      <c r="C137" s="480" t="s">
        <v>438</v>
      </c>
      <c r="D137" s="481"/>
      <c r="E137" s="481"/>
      <c r="F137" s="481"/>
      <c r="G137" s="19">
        <f>SUM(G138:G141)</f>
        <v>0</v>
      </c>
      <c r="H137" s="9"/>
      <c r="I137" s="13">
        <f>SUM(I138:I141)</f>
        <v>8.46279</v>
      </c>
      <c r="J137" s="15"/>
      <c r="K137" s="13">
        <f>IF(L137="PR",#REF!,SUM(J138:J141))</f>
        <v>0</v>
      </c>
      <c r="L137" s="9" t="s">
        <v>556</v>
      </c>
      <c r="M137" s="13" t="e">
        <f>IF(L137="HS",#REF!,0)</f>
        <v>#REF!</v>
      </c>
      <c r="N137" s="13">
        <f>IF(L137="HS",G137-K137,0)</f>
        <v>0</v>
      </c>
      <c r="O137" s="13">
        <f>IF(L137="PS",#REF!,0)</f>
        <v>0</v>
      </c>
      <c r="P137" s="13">
        <f>IF(L137="PS",G137-K137,0)</f>
        <v>0</v>
      </c>
      <c r="Q137" s="13">
        <f>IF(L137="MP",#REF!,0)</f>
        <v>0</v>
      </c>
      <c r="R137" s="13">
        <f>IF(L137="MP",G137-K137,0)</f>
        <v>0</v>
      </c>
      <c r="S137" s="13">
        <f>IF(L137="OM",#REF!,0)</f>
        <v>0</v>
      </c>
      <c r="T137" s="9"/>
      <c r="AD137" s="13">
        <f>SUM(U138:U141)</f>
        <v>0</v>
      </c>
      <c r="AE137" s="13">
        <f>SUM(V138:V141)</f>
        <v>0</v>
      </c>
      <c r="AF137" s="13" t="e">
        <f>SUM(W138:W141)</f>
        <v>#REF!</v>
      </c>
    </row>
    <row r="138" spans="1:38" ht="12.75">
      <c r="A138" s="121" t="s">
        <v>115</v>
      </c>
      <c r="B138" s="1" t="s">
        <v>265</v>
      </c>
      <c r="C138" s="1" t="s">
        <v>439</v>
      </c>
      <c r="D138" s="1" t="s">
        <v>539</v>
      </c>
      <c r="E138" s="6">
        <v>3.01</v>
      </c>
      <c r="F138" s="22">
        <v>0</v>
      </c>
      <c r="G138" s="18">
        <f t="shared" si="29"/>
        <v>0</v>
      </c>
      <c r="H138" s="6">
        <v>1.919</v>
      </c>
      <c r="I138" s="6">
        <f>E138*H138</f>
        <v>5.77619</v>
      </c>
      <c r="J138" s="6"/>
      <c r="K138" s="15"/>
      <c r="L138" s="15"/>
      <c r="M138" s="15"/>
      <c r="N138" s="15"/>
      <c r="O138" s="15"/>
      <c r="P138" s="15"/>
      <c r="Q138" s="15"/>
      <c r="R138" s="15"/>
      <c r="S138" s="15"/>
      <c r="U138" s="6">
        <f>IF(Y138=0,#REF!,0)</f>
        <v>0</v>
      </c>
      <c r="V138" s="6">
        <f>IF(Y138=15,#REF!,0)</f>
        <v>0</v>
      </c>
      <c r="W138" s="6" t="e">
        <f>IF(Y138=21,#REF!,0)</f>
        <v>#REF!</v>
      </c>
      <c r="Y138" s="10">
        <v>21</v>
      </c>
      <c r="Z138" s="10">
        <f>F138*0.816961365678347</f>
        <v>0</v>
      </c>
      <c r="AA138" s="10">
        <f>F138*(1-0.816961365678347)</f>
        <v>0</v>
      </c>
      <c r="AH138" s="10">
        <f>E138*Z138</f>
        <v>0</v>
      </c>
      <c r="AI138" s="10">
        <f>E138*AA138</f>
        <v>0</v>
      </c>
      <c r="AJ138" s="11" t="s">
        <v>581</v>
      </c>
      <c r="AK138" s="11" t="s">
        <v>605</v>
      </c>
      <c r="AL138" s="9" t="s">
        <v>612</v>
      </c>
    </row>
    <row r="139" spans="1:38" ht="12.75">
      <c r="A139" s="121" t="s">
        <v>116</v>
      </c>
      <c r="B139" s="1" t="s">
        <v>266</v>
      </c>
      <c r="C139" s="1" t="s">
        <v>440</v>
      </c>
      <c r="D139" s="1" t="s">
        <v>539</v>
      </c>
      <c r="E139" s="6">
        <v>3.01</v>
      </c>
      <c r="F139" s="22">
        <v>0</v>
      </c>
      <c r="G139" s="18">
        <f t="shared" si="29"/>
        <v>0</v>
      </c>
      <c r="H139" s="6">
        <v>0</v>
      </c>
      <c r="I139" s="6">
        <f>E139*H139</f>
        <v>0</v>
      </c>
      <c r="J139" s="6"/>
      <c r="K139" s="15"/>
      <c r="L139" s="15"/>
      <c r="M139" s="15"/>
      <c r="N139" s="15"/>
      <c r="O139" s="15"/>
      <c r="P139" s="15"/>
      <c r="Q139" s="15"/>
      <c r="R139" s="15"/>
      <c r="S139" s="15"/>
      <c r="U139" s="6">
        <f>IF(Y139=0,#REF!,0)</f>
        <v>0</v>
      </c>
      <c r="V139" s="6">
        <f>IF(Y139=15,#REF!,0)</f>
        <v>0</v>
      </c>
      <c r="W139" s="6" t="e">
        <f>IF(Y139=21,#REF!,0)</f>
        <v>#REF!</v>
      </c>
      <c r="Y139" s="10">
        <v>21</v>
      </c>
      <c r="Z139" s="10">
        <f>F139*0</f>
        <v>0</v>
      </c>
      <c r="AA139" s="10">
        <f>F139*(1-0)</f>
        <v>0</v>
      </c>
      <c r="AH139" s="10">
        <f>E139*Z139</f>
        <v>0</v>
      </c>
      <c r="AI139" s="10">
        <f>E139*AA139</f>
        <v>0</v>
      </c>
      <c r="AJ139" s="11" t="s">
        <v>581</v>
      </c>
      <c r="AK139" s="11" t="s">
        <v>605</v>
      </c>
      <c r="AL139" s="9" t="s">
        <v>612</v>
      </c>
    </row>
    <row r="140" spans="1:38" ht="12.75">
      <c r="A140" s="121" t="s">
        <v>117</v>
      </c>
      <c r="B140" s="1" t="s">
        <v>267</v>
      </c>
      <c r="C140" s="1" t="s">
        <v>441</v>
      </c>
      <c r="D140" s="1" t="s">
        <v>539</v>
      </c>
      <c r="E140" s="6">
        <v>1.4</v>
      </c>
      <c r="F140" s="22">
        <v>0</v>
      </c>
      <c r="G140" s="18">
        <f t="shared" si="29"/>
        <v>0</v>
      </c>
      <c r="H140" s="6">
        <v>1.919</v>
      </c>
      <c r="I140" s="6">
        <f>E140*H140</f>
        <v>2.6866</v>
      </c>
      <c r="J140" s="6"/>
      <c r="K140" s="15"/>
      <c r="L140" s="15"/>
      <c r="M140" s="15"/>
      <c r="N140" s="15"/>
      <c r="O140" s="15"/>
      <c r="P140" s="15"/>
      <c r="Q140" s="15"/>
      <c r="R140" s="15"/>
      <c r="S140" s="15"/>
      <c r="U140" s="6">
        <f>IF(Y140=0,#REF!,0)</f>
        <v>0</v>
      </c>
      <c r="V140" s="6">
        <f>IF(Y140=15,#REF!,0)</f>
        <v>0</v>
      </c>
      <c r="W140" s="6" t="e">
        <f>IF(Y140=21,#REF!,0)</f>
        <v>#REF!</v>
      </c>
      <c r="Y140" s="10">
        <v>21</v>
      </c>
      <c r="Z140" s="10">
        <f>F140*0.850497661365762</f>
        <v>0</v>
      </c>
      <c r="AA140" s="10">
        <f>F140*(1-0.850497661365762)</f>
        <v>0</v>
      </c>
      <c r="AH140" s="10">
        <f>E140*Z140</f>
        <v>0</v>
      </c>
      <c r="AI140" s="10">
        <f>E140*AA140</f>
        <v>0</v>
      </c>
      <c r="AJ140" s="11" t="s">
        <v>581</v>
      </c>
      <c r="AK140" s="11" t="s">
        <v>605</v>
      </c>
      <c r="AL140" s="9" t="s">
        <v>612</v>
      </c>
    </row>
    <row r="141" spans="1:38" ht="12.75">
      <c r="A141" s="121" t="s">
        <v>118</v>
      </c>
      <c r="B141" s="1" t="s">
        <v>268</v>
      </c>
      <c r="C141" s="1" t="s">
        <v>442</v>
      </c>
      <c r="D141" s="1" t="s">
        <v>539</v>
      </c>
      <c r="E141" s="6">
        <v>1.4</v>
      </c>
      <c r="F141" s="22">
        <v>0</v>
      </c>
      <c r="G141" s="18">
        <f t="shared" si="29"/>
        <v>0</v>
      </c>
      <c r="H141" s="6">
        <v>0</v>
      </c>
      <c r="I141" s="6">
        <f>E141*H141</f>
        <v>0</v>
      </c>
      <c r="J141" s="6"/>
      <c r="K141" s="15"/>
      <c r="L141" s="15"/>
      <c r="M141" s="15"/>
      <c r="N141" s="15"/>
      <c r="O141" s="15"/>
      <c r="P141" s="15"/>
      <c r="Q141" s="15"/>
      <c r="R141" s="15"/>
      <c r="S141" s="15"/>
      <c r="U141" s="6">
        <f>IF(Y141=0,#REF!,0)</f>
        <v>0</v>
      </c>
      <c r="V141" s="6">
        <f>IF(Y141=15,#REF!,0)</f>
        <v>0</v>
      </c>
      <c r="W141" s="6" t="e">
        <f>IF(Y141=21,#REF!,0)</f>
        <v>#REF!</v>
      </c>
      <c r="Y141" s="10">
        <v>21</v>
      </c>
      <c r="Z141" s="10">
        <f>F141*0</f>
        <v>0</v>
      </c>
      <c r="AA141" s="10">
        <f>F141*(1-0)</f>
        <v>0</v>
      </c>
      <c r="AH141" s="10">
        <f>E141*Z141</f>
        <v>0</v>
      </c>
      <c r="AI141" s="10">
        <f>E141*AA141</f>
        <v>0</v>
      </c>
      <c r="AJ141" s="11" t="s">
        <v>581</v>
      </c>
      <c r="AK141" s="11" t="s">
        <v>605</v>
      </c>
      <c r="AL141" s="9" t="s">
        <v>612</v>
      </c>
    </row>
    <row r="142" spans="1:32" ht="12.75">
      <c r="A142" s="68"/>
      <c r="B142" s="5" t="s">
        <v>64</v>
      </c>
      <c r="C142" s="480" t="s">
        <v>443</v>
      </c>
      <c r="D142" s="481"/>
      <c r="E142" s="481"/>
      <c r="F142" s="481"/>
      <c r="G142" s="19">
        <f>SUM(G143:G166)</f>
        <v>0</v>
      </c>
      <c r="H142" s="9"/>
      <c r="I142" s="13">
        <f>SUM(I143:I166)</f>
        <v>7.96424</v>
      </c>
      <c r="J142" s="15"/>
      <c r="K142" s="13">
        <f>IF(L142="PR",#REF!,SUM(J143:J166))</f>
        <v>0</v>
      </c>
      <c r="L142" s="9" t="s">
        <v>556</v>
      </c>
      <c r="M142" s="13" t="e">
        <f>IF(L142="HS",#REF!,0)</f>
        <v>#REF!</v>
      </c>
      <c r="N142" s="13">
        <f>IF(L142="HS",G142-K142,0)</f>
        <v>0</v>
      </c>
      <c r="O142" s="13">
        <f>IF(L142="PS",#REF!,0)</f>
        <v>0</v>
      </c>
      <c r="P142" s="13">
        <f>IF(L142="PS",G142-K142,0)</f>
        <v>0</v>
      </c>
      <c r="Q142" s="13">
        <f>IF(L142="MP",#REF!,0)</f>
        <v>0</v>
      </c>
      <c r="R142" s="13">
        <f>IF(L142="MP",G142-K142,0)</f>
        <v>0</v>
      </c>
      <c r="S142" s="13">
        <f>IF(L142="OM",#REF!,0)</f>
        <v>0</v>
      </c>
      <c r="T142" s="9"/>
      <c r="AD142" s="13">
        <f>SUM(U143:U166)</f>
        <v>0</v>
      </c>
      <c r="AE142" s="13">
        <f>SUM(V143:V166)</f>
        <v>0</v>
      </c>
      <c r="AF142" s="13" t="e">
        <f>SUM(W143:W166)</f>
        <v>#REF!</v>
      </c>
    </row>
    <row r="143" spans="1:38" ht="12.75">
      <c r="A143" s="121" t="s">
        <v>119</v>
      </c>
      <c r="B143" s="1" t="s">
        <v>269</v>
      </c>
      <c r="C143" s="1" t="s">
        <v>444</v>
      </c>
      <c r="D143" s="1" t="s">
        <v>543</v>
      </c>
      <c r="E143" s="6">
        <v>1</v>
      </c>
      <c r="F143" s="22">
        <v>0</v>
      </c>
      <c r="G143" s="18">
        <f aca="true" t="shared" si="33" ref="G143:G166">E143*F143</f>
        <v>0</v>
      </c>
      <c r="H143" s="6">
        <v>0.05401</v>
      </c>
      <c r="I143" s="6">
        <f aca="true" t="shared" si="34" ref="I143:I166">E143*H143</f>
        <v>0.05401</v>
      </c>
      <c r="J143" s="6"/>
      <c r="K143" s="15"/>
      <c r="L143" s="15"/>
      <c r="M143" s="15"/>
      <c r="N143" s="15"/>
      <c r="O143" s="15"/>
      <c r="P143" s="15"/>
      <c r="Q143" s="15"/>
      <c r="R143" s="15"/>
      <c r="S143" s="15"/>
      <c r="U143" s="6">
        <f>IF(Y143=0,#REF!,0)</f>
        <v>0</v>
      </c>
      <c r="V143" s="6">
        <f>IF(Y143=15,#REF!,0)</f>
        <v>0</v>
      </c>
      <c r="W143" s="6" t="e">
        <f>IF(Y143=21,#REF!,0)</f>
        <v>#REF!</v>
      </c>
      <c r="Y143" s="10">
        <v>21</v>
      </c>
      <c r="Z143" s="10">
        <f>F143*0.133652291105121</f>
        <v>0</v>
      </c>
      <c r="AA143" s="10">
        <f>F143*(1-0.133652291105121)</f>
        <v>0</v>
      </c>
      <c r="AH143" s="10">
        <f aca="true" t="shared" si="35" ref="AH143:AH166">E143*Z143</f>
        <v>0</v>
      </c>
      <c r="AI143" s="10">
        <f aca="true" t="shared" si="36" ref="AI143:AI166">E143*AA143</f>
        <v>0</v>
      </c>
      <c r="AJ143" s="11" t="s">
        <v>582</v>
      </c>
      <c r="AK143" s="11" t="s">
        <v>605</v>
      </c>
      <c r="AL143" s="9" t="s">
        <v>612</v>
      </c>
    </row>
    <row r="144" spans="1:38" ht="12.75">
      <c r="A144" s="121" t="s">
        <v>120</v>
      </c>
      <c r="B144" s="1" t="s">
        <v>270</v>
      </c>
      <c r="C144" s="1" t="s">
        <v>445</v>
      </c>
      <c r="D144" s="1" t="s">
        <v>543</v>
      </c>
      <c r="E144" s="6">
        <v>1</v>
      </c>
      <c r="F144" s="22">
        <v>0</v>
      </c>
      <c r="G144" s="18">
        <f t="shared" si="33"/>
        <v>0</v>
      </c>
      <c r="H144" s="6">
        <v>0.83819</v>
      </c>
      <c r="I144" s="6">
        <f t="shared" si="34"/>
        <v>0.83819</v>
      </c>
      <c r="J144" s="6"/>
      <c r="K144" s="15"/>
      <c r="L144" s="15"/>
      <c r="M144" s="15"/>
      <c r="N144" s="15"/>
      <c r="O144" s="15"/>
      <c r="P144" s="15"/>
      <c r="Q144" s="15"/>
      <c r="R144" s="15"/>
      <c r="S144" s="15"/>
      <c r="U144" s="6">
        <f>IF(Y144=0,#REF!,0)</f>
        <v>0</v>
      </c>
      <c r="V144" s="6">
        <f>IF(Y144=15,#REF!,0)</f>
        <v>0</v>
      </c>
      <c r="W144" s="6" t="e">
        <f>IF(Y144=21,#REF!,0)</f>
        <v>#REF!</v>
      </c>
      <c r="Y144" s="10">
        <v>21</v>
      </c>
      <c r="Z144" s="10">
        <f>F144*0.295668065322592</f>
        <v>0</v>
      </c>
      <c r="AA144" s="10">
        <f>F144*(1-0.295668065322592)</f>
        <v>0</v>
      </c>
      <c r="AH144" s="10">
        <f t="shared" si="35"/>
        <v>0</v>
      </c>
      <c r="AI144" s="10">
        <f t="shared" si="36"/>
        <v>0</v>
      </c>
      <c r="AJ144" s="11" t="s">
        <v>582</v>
      </c>
      <c r="AK144" s="11" t="s">
        <v>605</v>
      </c>
      <c r="AL144" s="9" t="s">
        <v>612</v>
      </c>
    </row>
    <row r="145" spans="1:38" ht="12.75">
      <c r="A145" s="121" t="s">
        <v>121</v>
      </c>
      <c r="B145" s="2" t="s">
        <v>271</v>
      </c>
      <c r="C145" s="2" t="s">
        <v>446</v>
      </c>
      <c r="D145" s="2" t="s">
        <v>543</v>
      </c>
      <c r="E145" s="7">
        <v>1</v>
      </c>
      <c r="F145" s="22">
        <v>0</v>
      </c>
      <c r="G145" s="18">
        <f t="shared" si="33"/>
        <v>0</v>
      </c>
      <c r="H145" s="7">
        <v>0.0223</v>
      </c>
      <c r="I145" s="7">
        <f t="shared" si="34"/>
        <v>0.0223</v>
      </c>
      <c r="J145" s="7"/>
      <c r="K145" s="15"/>
      <c r="L145" s="15"/>
      <c r="M145" s="15"/>
      <c r="N145" s="15"/>
      <c r="O145" s="15"/>
      <c r="P145" s="15"/>
      <c r="Q145" s="15"/>
      <c r="R145" s="15"/>
      <c r="S145" s="15"/>
      <c r="U145" s="7">
        <f>IF(Y145=0,#REF!,0)</f>
        <v>0</v>
      </c>
      <c r="V145" s="7">
        <f>IF(Y145=15,#REF!,0)</f>
        <v>0</v>
      </c>
      <c r="W145" s="7" t="e">
        <f>IF(Y145=21,#REF!,0)</f>
        <v>#REF!</v>
      </c>
      <c r="Y145" s="10">
        <v>21</v>
      </c>
      <c r="Z145" s="10">
        <f>F145*1</f>
        <v>0</v>
      </c>
      <c r="AA145" s="10">
        <f>F145*(1-1)</f>
        <v>0</v>
      </c>
      <c r="AH145" s="10">
        <f t="shared" si="35"/>
        <v>0</v>
      </c>
      <c r="AI145" s="10">
        <f t="shared" si="36"/>
        <v>0</v>
      </c>
      <c r="AJ145" s="11" t="s">
        <v>582</v>
      </c>
      <c r="AK145" s="11" t="s">
        <v>605</v>
      </c>
      <c r="AL145" s="9" t="s">
        <v>612</v>
      </c>
    </row>
    <row r="146" spans="1:38" ht="12.75">
      <c r="A146" s="121" t="s">
        <v>122</v>
      </c>
      <c r="B146" s="1" t="s">
        <v>269</v>
      </c>
      <c r="C146" s="1" t="s">
        <v>447</v>
      </c>
      <c r="D146" s="1" t="s">
        <v>543</v>
      </c>
      <c r="E146" s="6">
        <v>1</v>
      </c>
      <c r="F146" s="22">
        <v>0</v>
      </c>
      <c r="G146" s="18">
        <f t="shared" si="33"/>
        <v>0</v>
      </c>
      <c r="H146" s="6">
        <v>0.05401</v>
      </c>
      <c r="I146" s="6">
        <f t="shared" si="34"/>
        <v>0.05401</v>
      </c>
      <c r="J146" s="6"/>
      <c r="K146" s="15"/>
      <c r="L146" s="15"/>
      <c r="M146" s="15"/>
      <c r="N146" s="15"/>
      <c r="O146" s="15"/>
      <c r="P146" s="15"/>
      <c r="Q146" s="15"/>
      <c r="R146" s="15"/>
      <c r="S146" s="15"/>
      <c r="U146" s="6">
        <f>IF(Y146=0,#REF!,0)</f>
        <v>0</v>
      </c>
      <c r="V146" s="6">
        <f>IF(Y146=15,#REF!,0)</f>
        <v>0</v>
      </c>
      <c r="W146" s="6" t="e">
        <f>IF(Y146=21,#REF!,0)</f>
        <v>#REF!</v>
      </c>
      <c r="Y146" s="10">
        <v>21</v>
      </c>
      <c r="Z146" s="10">
        <f>F146*0.133652291105121</f>
        <v>0</v>
      </c>
      <c r="AA146" s="10">
        <f>F146*(1-0.133652291105121)</f>
        <v>0</v>
      </c>
      <c r="AH146" s="10">
        <f t="shared" si="35"/>
        <v>0</v>
      </c>
      <c r="AI146" s="10">
        <f t="shared" si="36"/>
        <v>0</v>
      </c>
      <c r="AJ146" s="11" t="s">
        <v>582</v>
      </c>
      <c r="AK146" s="11" t="s">
        <v>605</v>
      </c>
      <c r="AL146" s="9" t="s">
        <v>612</v>
      </c>
    </row>
    <row r="147" spans="1:38" ht="12.75">
      <c r="A147" s="121" t="s">
        <v>123</v>
      </c>
      <c r="B147" s="1" t="s">
        <v>272</v>
      </c>
      <c r="C147" s="1" t="s">
        <v>448</v>
      </c>
      <c r="D147" s="1" t="s">
        <v>543</v>
      </c>
      <c r="E147" s="6">
        <v>1</v>
      </c>
      <c r="F147" s="22">
        <v>0</v>
      </c>
      <c r="G147" s="18">
        <f t="shared" si="33"/>
        <v>0</v>
      </c>
      <c r="H147" s="6">
        <v>0.83819</v>
      </c>
      <c r="I147" s="6">
        <f t="shared" si="34"/>
        <v>0.83819</v>
      </c>
      <c r="J147" s="6"/>
      <c r="K147" s="15"/>
      <c r="L147" s="15"/>
      <c r="M147" s="15"/>
      <c r="N147" s="15"/>
      <c r="O147" s="15"/>
      <c r="P147" s="15"/>
      <c r="Q147" s="15"/>
      <c r="R147" s="15"/>
      <c r="S147" s="15"/>
      <c r="U147" s="6">
        <f>IF(Y147=0,#REF!,0)</f>
        <v>0</v>
      </c>
      <c r="V147" s="6">
        <f>IF(Y147=15,#REF!,0)</f>
        <v>0</v>
      </c>
      <c r="W147" s="6" t="e">
        <f>IF(Y147=21,#REF!,0)</f>
        <v>#REF!</v>
      </c>
      <c r="Y147" s="10">
        <v>21</v>
      </c>
      <c r="Z147" s="10">
        <f>F147*0.295677719604421</f>
        <v>0</v>
      </c>
      <c r="AA147" s="10">
        <f>F147*(1-0.295677719604421)</f>
        <v>0</v>
      </c>
      <c r="AH147" s="10">
        <f t="shared" si="35"/>
        <v>0</v>
      </c>
      <c r="AI147" s="10">
        <f t="shared" si="36"/>
        <v>0</v>
      </c>
      <c r="AJ147" s="11" t="s">
        <v>582</v>
      </c>
      <c r="AK147" s="11" t="s">
        <v>605</v>
      </c>
      <c r="AL147" s="9" t="s">
        <v>612</v>
      </c>
    </row>
    <row r="148" spans="1:38" ht="12.75">
      <c r="A148" s="121" t="s">
        <v>124</v>
      </c>
      <c r="B148" s="2" t="s">
        <v>273</v>
      </c>
      <c r="C148" s="2" t="s">
        <v>449</v>
      </c>
      <c r="D148" s="2" t="s">
        <v>543</v>
      </c>
      <c r="E148" s="7">
        <v>1</v>
      </c>
      <c r="F148" s="22">
        <v>0</v>
      </c>
      <c r="G148" s="18">
        <f t="shared" si="33"/>
        <v>0</v>
      </c>
      <c r="H148" s="7">
        <v>0.0162</v>
      </c>
      <c r="I148" s="7">
        <f t="shared" si="34"/>
        <v>0.0162</v>
      </c>
      <c r="J148" s="7"/>
      <c r="K148" s="15"/>
      <c r="L148" s="15"/>
      <c r="M148" s="15"/>
      <c r="N148" s="15"/>
      <c r="O148" s="15"/>
      <c r="P148" s="15"/>
      <c r="Q148" s="15"/>
      <c r="R148" s="15"/>
      <c r="S148" s="15"/>
      <c r="U148" s="7">
        <f>IF(Y148=0,#REF!,0)</f>
        <v>0</v>
      </c>
      <c r="V148" s="7">
        <f>IF(Y148=15,#REF!,0)</f>
        <v>0</v>
      </c>
      <c r="W148" s="7" t="e">
        <f>IF(Y148=21,#REF!,0)</f>
        <v>#REF!</v>
      </c>
      <c r="Y148" s="10">
        <v>21</v>
      </c>
      <c r="Z148" s="10">
        <f>F148*1</f>
        <v>0</v>
      </c>
      <c r="AA148" s="10">
        <f>F148*(1-1)</f>
        <v>0</v>
      </c>
      <c r="AH148" s="10">
        <f t="shared" si="35"/>
        <v>0</v>
      </c>
      <c r="AI148" s="10">
        <f t="shared" si="36"/>
        <v>0</v>
      </c>
      <c r="AJ148" s="11" t="s">
        <v>582</v>
      </c>
      <c r="AK148" s="11" t="s">
        <v>605</v>
      </c>
      <c r="AL148" s="9" t="s">
        <v>612</v>
      </c>
    </row>
    <row r="149" spans="1:38" ht="12.75">
      <c r="A149" s="121" t="s">
        <v>125</v>
      </c>
      <c r="B149" s="1" t="s">
        <v>269</v>
      </c>
      <c r="C149" s="1" t="s">
        <v>450</v>
      </c>
      <c r="D149" s="1" t="s">
        <v>543</v>
      </c>
      <c r="E149" s="6">
        <v>1</v>
      </c>
      <c r="F149" s="22">
        <v>0</v>
      </c>
      <c r="G149" s="18">
        <f t="shared" si="33"/>
        <v>0</v>
      </c>
      <c r="H149" s="6">
        <v>0.05401</v>
      </c>
      <c r="I149" s="6">
        <f t="shared" si="34"/>
        <v>0.05401</v>
      </c>
      <c r="J149" s="6"/>
      <c r="K149" s="15"/>
      <c r="L149" s="15"/>
      <c r="M149" s="15"/>
      <c r="N149" s="15"/>
      <c r="O149" s="15"/>
      <c r="P149" s="15"/>
      <c r="Q149" s="15"/>
      <c r="R149" s="15"/>
      <c r="S149" s="15"/>
      <c r="U149" s="6">
        <f>IF(Y149=0,#REF!,0)</f>
        <v>0</v>
      </c>
      <c r="V149" s="6">
        <f>IF(Y149=15,#REF!,0)</f>
        <v>0</v>
      </c>
      <c r="W149" s="6" t="e">
        <f>IF(Y149=21,#REF!,0)</f>
        <v>#REF!</v>
      </c>
      <c r="Y149" s="10">
        <v>21</v>
      </c>
      <c r="Z149" s="10">
        <f>F149*0.133652291105121</f>
        <v>0</v>
      </c>
      <c r="AA149" s="10">
        <f>F149*(1-0.133652291105121)</f>
        <v>0</v>
      </c>
      <c r="AH149" s="10">
        <f t="shared" si="35"/>
        <v>0</v>
      </c>
      <c r="AI149" s="10">
        <f t="shared" si="36"/>
        <v>0</v>
      </c>
      <c r="AJ149" s="11" t="s">
        <v>582</v>
      </c>
      <c r="AK149" s="11" t="s">
        <v>605</v>
      </c>
      <c r="AL149" s="9" t="s">
        <v>612</v>
      </c>
    </row>
    <row r="150" spans="1:38" ht="12.75">
      <c r="A150" s="121" t="s">
        <v>126</v>
      </c>
      <c r="B150" s="1" t="s">
        <v>270</v>
      </c>
      <c r="C150" s="1" t="s">
        <v>451</v>
      </c>
      <c r="D150" s="1" t="s">
        <v>543</v>
      </c>
      <c r="E150" s="6">
        <v>1</v>
      </c>
      <c r="F150" s="22">
        <v>0</v>
      </c>
      <c r="G150" s="18">
        <f t="shared" si="33"/>
        <v>0</v>
      </c>
      <c r="H150" s="6">
        <v>0.83819</v>
      </c>
      <c r="I150" s="6">
        <f t="shared" si="34"/>
        <v>0.83819</v>
      </c>
      <c r="J150" s="6"/>
      <c r="K150" s="15"/>
      <c r="L150" s="15"/>
      <c r="M150" s="15"/>
      <c r="N150" s="15"/>
      <c r="O150" s="15"/>
      <c r="P150" s="15"/>
      <c r="Q150" s="15"/>
      <c r="R150" s="15"/>
      <c r="S150" s="15"/>
      <c r="U150" s="6">
        <f>IF(Y150=0,#REF!,0)</f>
        <v>0</v>
      </c>
      <c r="V150" s="6">
        <f>IF(Y150=15,#REF!,0)</f>
        <v>0</v>
      </c>
      <c r="W150" s="6" t="e">
        <f>IF(Y150=21,#REF!,0)</f>
        <v>#REF!</v>
      </c>
      <c r="Y150" s="10">
        <v>21</v>
      </c>
      <c r="Z150" s="10">
        <f>F150*0.295668065322592</f>
        <v>0</v>
      </c>
      <c r="AA150" s="10">
        <f>F150*(1-0.295668065322592)</f>
        <v>0</v>
      </c>
      <c r="AH150" s="10">
        <f t="shared" si="35"/>
        <v>0</v>
      </c>
      <c r="AI150" s="10">
        <f t="shared" si="36"/>
        <v>0</v>
      </c>
      <c r="AJ150" s="11" t="s">
        <v>582</v>
      </c>
      <c r="AK150" s="11" t="s">
        <v>605</v>
      </c>
      <c r="AL150" s="9" t="s">
        <v>612</v>
      </c>
    </row>
    <row r="151" spans="1:38" ht="12.75">
      <c r="A151" s="121" t="s">
        <v>127</v>
      </c>
      <c r="B151" s="2" t="s">
        <v>274</v>
      </c>
      <c r="C151" s="2" t="s">
        <v>452</v>
      </c>
      <c r="D151" s="2" t="s">
        <v>543</v>
      </c>
      <c r="E151" s="7">
        <v>1</v>
      </c>
      <c r="F151" s="22">
        <v>0</v>
      </c>
      <c r="G151" s="18">
        <f t="shared" si="33"/>
        <v>0</v>
      </c>
      <c r="H151" s="7">
        <v>0.0232</v>
      </c>
      <c r="I151" s="7">
        <f t="shared" si="34"/>
        <v>0.0232</v>
      </c>
      <c r="J151" s="7"/>
      <c r="K151" s="15"/>
      <c r="L151" s="15"/>
      <c r="M151" s="15"/>
      <c r="N151" s="15"/>
      <c r="O151" s="15"/>
      <c r="P151" s="15"/>
      <c r="Q151" s="15"/>
      <c r="R151" s="15"/>
      <c r="S151" s="15"/>
      <c r="U151" s="7">
        <f>IF(Y151=0,#REF!,0)</f>
        <v>0</v>
      </c>
      <c r="V151" s="7">
        <f>IF(Y151=15,#REF!,0)</f>
        <v>0</v>
      </c>
      <c r="W151" s="7" t="e">
        <f>IF(Y151=21,#REF!,0)</f>
        <v>#REF!</v>
      </c>
      <c r="Y151" s="10">
        <v>21</v>
      </c>
      <c r="Z151" s="10">
        <f>F151*1</f>
        <v>0</v>
      </c>
      <c r="AA151" s="10">
        <f>F151*(1-1)</f>
        <v>0</v>
      </c>
      <c r="AH151" s="10">
        <f t="shared" si="35"/>
        <v>0</v>
      </c>
      <c r="AI151" s="10">
        <f t="shared" si="36"/>
        <v>0</v>
      </c>
      <c r="AJ151" s="11" t="s">
        <v>582</v>
      </c>
      <c r="AK151" s="11" t="s">
        <v>605</v>
      </c>
      <c r="AL151" s="9" t="s">
        <v>612</v>
      </c>
    </row>
    <row r="152" spans="1:38" ht="12.75">
      <c r="A152" s="121" t="s">
        <v>128</v>
      </c>
      <c r="B152" s="1" t="s">
        <v>269</v>
      </c>
      <c r="C152" s="1" t="s">
        <v>453</v>
      </c>
      <c r="D152" s="1" t="s">
        <v>543</v>
      </c>
      <c r="E152" s="6">
        <v>1</v>
      </c>
      <c r="F152" s="22">
        <v>0</v>
      </c>
      <c r="G152" s="18">
        <f t="shared" si="33"/>
        <v>0</v>
      </c>
      <c r="H152" s="6">
        <v>0.05401</v>
      </c>
      <c r="I152" s="6">
        <f t="shared" si="34"/>
        <v>0.05401</v>
      </c>
      <c r="J152" s="6"/>
      <c r="K152" s="15"/>
      <c r="L152" s="15"/>
      <c r="M152" s="15"/>
      <c r="N152" s="15"/>
      <c r="O152" s="15"/>
      <c r="P152" s="15"/>
      <c r="Q152" s="15"/>
      <c r="R152" s="15"/>
      <c r="S152" s="15"/>
      <c r="U152" s="6">
        <f>IF(Y152=0,#REF!,0)</f>
        <v>0</v>
      </c>
      <c r="V152" s="6">
        <f>IF(Y152=15,#REF!,0)</f>
        <v>0</v>
      </c>
      <c r="W152" s="6" t="e">
        <f>IF(Y152=21,#REF!,0)</f>
        <v>#REF!</v>
      </c>
      <c r="Y152" s="10">
        <v>21</v>
      </c>
      <c r="Z152" s="10">
        <f>F152*0.133652291105121</f>
        <v>0</v>
      </c>
      <c r="AA152" s="10">
        <f>F152*(1-0.133652291105121)</f>
        <v>0</v>
      </c>
      <c r="AH152" s="10">
        <f t="shared" si="35"/>
        <v>0</v>
      </c>
      <c r="AI152" s="10">
        <f t="shared" si="36"/>
        <v>0</v>
      </c>
      <c r="AJ152" s="11" t="s">
        <v>582</v>
      </c>
      <c r="AK152" s="11" t="s">
        <v>605</v>
      </c>
      <c r="AL152" s="9" t="s">
        <v>612</v>
      </c>
    </row>
    <row r="153" spans="1:38" ht="12.75">
      <c r="A153" s="121" t="s">
        <v>129</v>
      </c>
      <c r="B153" s="1" t="s">
        <v>270</v>
      </c>
      <c r="C153" s="1" t="s">
        <v>454</v>
      </c>
      <c r="D153" s="1" t="s">
        <v>543</v>
      </c>
      <c r="E153" s="6">
        <v>1</v>
      </c>
      <c r="F153" s="22">
        <v>0</v>
      </c>
      <c r="G153" s="18">
        <f t="shared" si="33"/>
        <v>0</v>
      </c>
      <c r="H153" s="6">
        <v>0.83819</v>
      </c>
      <c r="I153" s="6">
        <f t="shared" si="34"/>
        <v>0.83819</v>
      </c>
      <c r="J153" s="6"/>
      <c r="K153" s="15"/>
      <c r="L153" s="15"/>
      <c r="M153" s="15"/>
      <c r="N153" s="15"/>
      <c r="O153" s="15"/>
      <c r="P153" s="15"/>
      <c r="Q153" s="15"/>
      <c r="R153" s="15"/>
      <c r="S153" s="15"/>
      <c r="U153" s="6">
        <f>IF(Y153=0,#REF!,0)</f>
        <v>0</v>
      </c>
      <c r="V153" s="6">
        <f>IF(Y153=15,#REF!,0)</f>
        <v>0</v>
      </c>
      <c r="W153" s="6" t="e">
        <f>IF(Y153=21,#REF!,0)</f>
        <v>#REF!</v>
      </c>
      <c r="Y153" s="10">
        <v>21</v>
      </c>
      <c r="Z153" s="10">
        <f>F153*0.295668065322592</f>
        <v>0</v>
      </c>
      <c r="AA153" s="10">
        <f>F153*(1-0.295668065322592)</f>
        <v>0</v>
      </c>
      <c r="AH153" s="10">
        <f t="shared" si="35"/>
        <v>0</v>
      </c>
      <c r="AI153" s="10">
        <f t="shared" si="36"/>
        <v>0</v>
      </c>
      <c r="AJ153" s="11" t="s">
        <v>582</v>
      </c>
      <c r="AK153" s="11" t="s">
        <v>605</v>
      </c>
      <c r="AL153" s="9" t="s">
        <v>612</v>
      </c>
    </row>
    <row r="154" spans="1:38" ht="12.75">
      <c r="A154" s="121" t="s">
        <v>130</v>
      </c>
      <c r="B154" s="2" t="s">
        <v>271</v>
      </c>
      <c r="C154" s="2" t="s">
        <v>455</v>
      </c>
      <c r="D154" s="2" t="s">
        <v>543</v>
      </c>
      <c r="E154" s="7">
        <v>1</v>
      </c>
      <c r="F154" s="22">
        <v>0</v>
      </c>
      <c r="G154" s="18">
        <f t="shared" si="33"/>
        <v>0</v>
      </c>
      <c r="H154" s="7">
        <v>0.0223</v>
      </c>
      <c r="I154" s="7">
        <f t="shared" si="34"/>
        <v>0.0223</v>
      </c>
      <c r="J154" s="7"/>
      <c r="K154" s="15"/>
      <c r="L154" s="15"/>
      <c r="M154" s="15"/>
      <c r="N154" s="15"/>
      <c r="O154" s="15"/>
      <c r="P154" s="15"/>
      <c r="Q154" s="15"/>
      <c r="R154" s="15"/>
      <c r="S154" s="15"/>
      <c r="U154" s="7">
        <f>IF(Y154=0,#REF!,0)</f>
        <v>0</v>
      </c>
      <c r="V154" s="7">
        <f>IF(Y154=15,#REF!,0)</f>
        <v>0</v>
      </c>
      <c r="W154" s="7" t="e">
        <f>IF(Y154=21,#REF!,0)</f>
        <v>#REF!</v>
      </c>
      <c r="Y154" s="10">
        <v>21</v>
      </c>
      <c r="Z154" s="10">
        <f>F154*1</f>
        <v>0</v>
      </c>
      <c r="AA154" s="10">
        <f>F154*(1-1)</f>
        <v>0</v>
      </c>
      <c r="AH154" s="10">
        <f t="shared" si="35"/>
        <v>0</v>
      </c>
      <c r="AI154" s="10">
        <f t="shared" si="36"/>
        <v>0</v>
      </c>
      <c r="AJ154" s="11" t="s">
        <v>582</v>
      </c>
      <c r="AK154" s="11" t="s">
        <v>605</v>
      </c>
      <c r="AL154" s="9" t="s">
        <v>612</v>
      </c>
    </row>
    <row r="155" spans="1:38" ht="12.75">
      <c r="A155" s="121" t="s">
        <v>131</v>
      </c>
      <c r="B155" s="1" t="s">
        <v>269</v>
      </c>
      <c r="C155" s="1" t="s">
        <v>456</v>
      </c>
      <c r="D155" s="1" t="s">
        <v>543</v>
      </c>
      <c r="E155" s="6">
        <v>1</v>
      </c>
      <c r="F155" s="22">
        <v>0</v>
      </c>
      <c r="G155" s="18">
        <f t="shared" si="33"/>
        <v>0</v>
      </c>
      <c r="H155" s="6">
        <v>0.05401</v>
      </c>
      <c r="I155" s="6">
        <f t="shared" si="34"/>
        <v>0.05401</v>
      </c>
      <c r="J155" s="6"/>
      <c r="K155" s="15"/>
      <c r="L155" s="15"/>
      <c r="M155" s="15"/>
      <c r="N155" s="15"/>
      <c r="O155" s="15"/>
      <c r="P155" s="15"/>
      <c r="Q155" s="15"/>
      <c r="R155" s="15"/>
      <c r="S155" s="15"/>
      <c r="U155" s="6">
        <f>IF(Y155=0,#REF!,0)</f>
        <v>0</v>
      </c>
      <c r="V155" s="6">
        <f>IF(Y155=15,#REF!,0)</f>
        <v>0</v>
      </c>
      <c r="W155" s="6" t="e">
        <f>IF(Y155=21,#REF!,0)</f>
        <v>#REF!</v>
      </c>
      <c r="Y155" s="10">
        <v>21</v>
      </c>
      <c r="Z155" s="10">
        <f>F155*0.133652291105121</f>
        <v>0</v>
      </c>
      <c r="AA155" s="10">
        <f>F155*(1-0.133652291105121)</f>
        <v>0</v>
      </c>
      <c r="AH155" s="10">
        <f t="shared" si="35"/>
        <v>0</v>
      </c>
      <c r="AI155" s="10">
        <f t="shared" si="36"/>
        <v>0</v>
      </c>
      <c r="AJ155" s="11" t="s">
        <v>582</v>
      </c>
      <c r="AK155" s="11" t="s">
        <v>605</v>
      </c>
      <c r="AL155" s="9" t="s">
        <v>612</v>
      </c>
    </row>
    <row r="156" spans="1:38" ht="12.75">
      <c r="A156" s="121" t="s">
        <v>132</v>
      </c>
      <c r="B156" s="1" t="s">
        <v>270</v>
      </c>
      <c r="C156" s="1" t="s">
        <v>457</v>
      </c>
      <c r="D156" s="1" t="s">
        <v>543</v>
      </c>
      <c r="E156" s="6">
        <v>1</v>
      </c>
      <c r="F156" s="22">
        <v>0</v>
      </c>
      <c r="G156" s="18">
        <f t="shared" si="33"/>
        <v>0</v>
      </c>
      <c r="H156" s="6">
        <v>0.83819</v>
      </c>
      <c r="I156" s="6">
        <f t="shared" si="34"/>
        <v>0.83819</v>
      </c>
      <c r="J156" s="6"/>
      <c r="K156" s="15"/>
      <c r="L156" s="15"/>
      <c r="M156" s="15"/>
      <c r="N156" s="15"/>
      <c r="O156" s="15"/>
      <c r="P156" s="15"/>
      <c r="Q156" s="15"/>
      <c r="R156" s="15"/>
      <c r="S156" s="15"/>
      <c r="U156" s="6">
        <f>IF(Y156=0,#REF!,0)</f>
        <v>0</v>
      </c>
      <c r="V156" s="6">
        <f>IF(Y156=15,#REF!,0)</f>
        <v>0</v>
      </c>
      <c r="W156" s="6" t="e">
        <f>IF(Y156=21,#REF!,0)</f>
        <v>#REF!</v>
      </c>
      <c r="Y156" s="10">
        <v>21</v>
      </c>
      <c r="Z156" s="10">
        <f>F156*0.295668065322592</f>
        <v>0</v>
      </c>
      <c r="AA156" s="10">
        <f>F156*(1-0.295668065322592)</f>
        <v>0</v>
      </c>
      <c r="AH156" s="10">
        <f t="shared" si="35"/>
        <v>0</v>
      </c>
      <c r="AI156" s="10">
        <f t="shared" si="36"/>
        <v>0</v>
      </c>
      <c r="AJ156" s="11" t="s">
        <v>582</v>
      </c>
      <c r="AK156" s="11" t="s">
        <v>605</v>
      </c>
      <c r="AL156" s="9" t="s">
        <v>612</v>
      </c>
    </row>
    <row r="157" spans="1:38" ht="12.75">
      <c r="A157" s="121" t="s">
        <v>133</v>
      </c>
      <c r="B157" s="2" t="s">
        <v>271</v>
      </c>
      <c r="C157" s="2" t="s">
        <v>458</v>
      </c>
      <c r="D157" s="2" t="s">
        <v>543</v>
      </c>
      <c r="E157" s="7">
        <v>1</v>
      </c>
      <c r="F157" s="22">
        <v>0</v>
      </c>
      <c r="G157" s="18">
        <f t="shared" si="33"/>
        <v>0</v>
      </c>
      <c r="H157" s="7">
        <v>0.0223</v>
      </c>
      <c r="I157" s="7">
        <f t="shared" si="34"/>
        <v>0.0223</v>
      </c>
      <c r="J157" s="7"/>
      <c r="K157" s="15"/>
      <c r="L157" s="15"/>
      <c r="M157" s="15"/>
      <c r="N157" s="15"/>
      <c r="O157" s="15"/>
      <c r="P157" s="15"/>
      <c r="Q157" s="15"/>
      <c r="R157" s="15"/>
      <c r="S157" s="15"/>
      <c r="U157" s="7">
        <f>IF(Y157=0,#REF!,0)</f>
        <v>0</v>
      </c>
      <c r="V157" s="7">
        <f>IF(Y157=15,#REF!,0)</f>
        <v>0</v>
      </c>
      <c r="W157" s="7" t="e">
        <f>IF(Y157=21,#REF!,0)</f>
        <v>#REF!</v>
      </c>
      <c r="Y157" s="10">
        <v>21</v>
      </c>
      <c r="Z157" s="10">
        <f>F157*1</f>
        <v>0</v>
      </c>
      <c r="AA157" s="10">
        <f>F157*(1-1)</f>
        <v>0</v>
      </c>
      <c r="AH157" s="10">
        <f t="shared" si="35"/>
        <v>0</v>
      </c>
      <c r="AI157" s="10">
        <f t="shared" si="36"/>
        <v>0</v>
      </c>
      <c r="AJ157" s="11" t="s">
        <v>582</v>
      </c>
      <c r="AK157" s="11" t="s">
        <v>605</v>
      </c>
      <c r="AL157" s="9" t="s">
        <v>612</v>
      </c>
    </row>
    <row r="158" spans="1:38" ht="12.75">
      <c r="A158" s="121" t="s">
        <v>134</v>
      </c>
      <c r="B158" s="1" t="s">
        <v>269</v>
      </c>
      <c r="C158" s="1" t="s">
        <v>459</v>
      </c>
      <c r="D158" s="1" t="s">
        <v>543</v>
      </c>
      <c r="E158" s="6">
        <v>1</v>
      </c>
      <c r="F158" s="22">
        <v>0</v>
      </c>
      <c r="G158" s="18">
        <f t="shared" si="33"/>
        <v>0</v>
      </c>
      <c r="H158" s="6">
        <v>0.05401</v>
      </c>
      <c r="I158" s="6">
        <f t="shared" si="34"/>
        <v>0.05401</v>
      </c>
      <c r="J158" s="6"/>
      <c r="K158" s="15"/>
      <c r="L158" s="15"/>
      <c r="M158" s="15"/>
      <c r="N158" s="15"/>
      <c r="O158" s="15"/>
      <c r="P158" s="15"/>
      <c r="Q158" s="15"/>
      <c r="R158" s="15"/>
      <c r="S158" s="15"/>
      <c r="U158" s="6">
        <f>IF(Y158=0,#REF!,0)</f>
        <v>0</v>
      </c>
      <c r="V158" s="6">
        <f>IF(Y158=15,#REF!,0)</f>
        <v>0</v>
      </c>
      <c r="W158" s="6" t="e">
        <f>IF(Y158=21,#REF!,0)</f>
        <v>#REF!</v>
      </c>
      <c r="Y158" s="10">
        <v>21</v>
      </c>
      <c r="Z158" s="10">
        <f>F158*0.133652291105121</f>
        <v>0</v>
      </c>
      <c r="AA158" s="10">
        <f>F158*(1-0.133652291105121)</f>
        <v>0</v>
      </c>
      <c r="AH158" s="10">
        <f t="shared" si="35"/>
        <v>0</v>
      </c>
      <c r="AI158" s="10">
        <f t="shared" si="36"/>
        <v>0</v>
      </c>
      <c r="AJ158" s="11" t="s">
        <v>582</v>
      </c>
      <c r="AK158" s="11" t="s">
        <v>605</v>
      </c>
      <c r="AL158" s="9" t="s">
        <v>612</v>
      </c>
    </row>
    <row r="159" spans="1:38" ht="12.75">
      <c r="A159" s="121" t="s">
        <v>135</v>
      </c>
      <c r="B159" s="1" t="s">
        <v>270</v>
      </c>
      <c r="C159" s="1" t="s">
        <v>460</v>
      </c>
      <c r="D159" s="1" t="s">
        <v>543</v>
      </c>
      <c r="E159" s="6">
        <v>1</v>
      </c>
      <c r="F159" s="22">
        <v>0</v>
      </c>
      <c r="G159" s="18">
        <f t="shared" si="33"/>
        <v>0</v>
      </c>
      <c r="H159" s="6">
        <v>0.83819</v>
      </c>
      <c r="I159" s="6">
        <f t="shared" si="34"/>
        <v>0.83819</v>
      </c>
      <c r="J159" s="6"/>
      <c r="K159" s="15"/>
      <c r="L159" s="15"/>
      <c r="M159" s="15"/>
      <c r="N159" s="15"/>
      <c r="O159" s="15"/>
      <c r="P159" s="15"/>
      <c r="Q159" s="15"/>
      <c r="R159" s="15"/>
      <c r="S159" s="15"/>
      <c r="U159" s="6">
        <f>IF(Y159=0,#REF!,0)</f>
        <v>0</v>
      </c>
      <c r="V159" s="6">
        <f>IF(Y159=15,#REF!,0)</f>
        <v>0</v>
      </c>
      <c r="W159" s="6" t="e">
        <f>IF(Y159=21,#REF!,0)</f>
        <v>#REF!</v>
      </c>
      <c r="Y159" s="10">
        <v>21</v>
      </c>
      <c r="Z159" s="10">
        <f>F159*0.295668065322592</f>
        <v>0</v>
      </c>
      <c r="AA159" s="10">
        <f>F159*(1-0.295668065322592)</f>
        <v>0</v>
      </c>
      <c r="AH159" s="10">
        <f t="shared" si="35"/>
        <v>0</v>
      </c>
      <c r="AI159" s="10">
        <f t="shared" si="36"/>
        <v>0</v>
      </c>
      <c r="AJ159" s="11" t="s">
        <v>582</v>
      </c>
      <c r="AK159" s="11" t="s">
        <v>605</v>
      </c>
      <c r="AL159" s="9" t="s">
        <v>612</v>
      </c>
    </row>
    <row r="160" spans="1:38" ht="12.75">
      <c r="A160" s="121" t="s">
        <v>136</v>
      </c>
      <c r="B160" s="2" t="s">
        <v>275</v>
      </c>
      <c r="C160" s="2" t="s">
        <v>461</v>
      </c>
      <c r="D160" s="2" t="s">
        <v>543</v>
      </c>
      <c r="E160" s="7">
        <v>1</v>
      </c>
      <c r="F160" s="22">
        <v>0</v>
      </c>
      <c r="G160" s="18">
        <f t="shared" si="33"/>
        <v>0</v>
      </c>
      <c r="H160" s="7">
        <v>0.0219</v>
      </c>
      <c r="I160" s="7">
        <f t="shared" si="34"/>
        <v>0.0219</v>
      </c>
      <c r="J160" s="7"/>
      <c r="K160" s="15"/>
      <c r="L160" s="15"/>
      <c r="M160" s="15"/>
      <c r="N160" s="15"/>
      <c r="O160" s="15"/>
      <c r="P160" s="15"/>
      <c r="Q160" s="15"/>
      <c r="R160" s="15"/>
      <c r="S160" s="15"/>
      <c r="U160" s="7">
        <f>IF(Y160=0,#REF!,0)</f>
        <v>0</v>
      </c>
      <c r="V160" s="7">
        <f>IF(Y160=15,#REF!,0)</f>
        <v>0</v>
      </c>
      <c r="W160" s="7" t="e">
        <f>IF(Y160=21,#REF!,0)</f>
        <v>#REF!</v>
      </c>
      <c r="Y160" s="10">
        <v>21</v>
      </c>
      <c r="Z160" s="10">
        <f>F160*1</f>
        <v>0</v>
      </c>
      <c r="AA160" s="10">
        <f>F160*(1-1)</f>
        <v>0</v>
      </c>
      <c r="AH160" s="10">
        <f t="shared" si="35"/>
        <v>0</v>
      </c>
      <c r="AI160" s="10">
        <f t="shared" si="36"/>
        <v>0</v>
      </c>
      <c r="AJ160" s="11" t="s">
        <v>582</v>
      </c>
      <c r="AK160" s="11" t="s">
        <v>605</v>
      </c>
      <c r="AL160" s="9" t="s">
        <v>612</v>
      </c>
    </row>
    <row r="161" spans="1:38" ht="12.75">
      <c r="A161" s="121" t="s">
        <v>137</v>
      </c>
      <c r="B161" s="1" t="s">
        <v>276</v>
      </c>
      <c r="C161" s="1" t="s">
        <v>462</v>
      </c>
      <c r="D161" s="1" t="s">
        <v>543</v>
      </c>
      <c r="E161" s="6">
        <v>1</v>
      </c>
      <c r="F161" s="22">
        <v>0</v>
      </c>
      <c r="G161" s="18">
        <f t="shared" si="33"/>
        <v>0</v>
      </c>
      <c r="H161" s="6">
        <v>0.05661</v>
      </c>
      <c r="I161" s="6">
        <f t="shared" si="34"/>
        <v>0.05661</v>
      </c>
      <c r="J161" s="6"/>
      <c r="K161" s="15"/>
      <c r="L161" s="15"/>
      <c r="M161" s="15"/>
      <c r="N161" s="15"/>
      <c r="O161" s="15"/>
      <c r="P161" s="15"/>
      <c r="Q161" s="15"/>
      <c r="R161" s="15"/>
      <c r="S161" s="15"/>
      <c r="U161" s="6">
        <f>IF(Y161=0,#REF!,0)</f>
        <v>0</v>
      </c>
      <c r="V161" s="6">
        <f>IF(Y161=15,#REF!,0)</f>
        <v>0</v>
      </c>
      <c r="W161" s="6" t="e">
        <f>IF(Y161=21,#REF!,0)</f>
        <v>#REF!</v>
      </c>
      <c r="Y161" s="10">
        <v>21</v>
      </c>
      <c r="Z161" s="10">
        <f>F161*0.190479818663213</f>
        <v>0</v>
      </c>
      <c r="AA161" s="10">
        <f>F161*(1-0.190479818663213)</f>
        <v>0</v>
      </c>
      <c r="AH161" s="10">
        <f t="shared" si="35"/>
        <v>0</v>
      </c>
      <c r="AI161" s="10">
        <f t="shared" si="36"/>
        <v>0</v>
      </c>
      <c r="AJ161" s="11" t="s">
        <v>582</v>
      </c>
      <c r="AK161" s="11" t="s">
        <v>605</v>
      </c>
      <c r="AL161" s="9" t="s">
        <v>612</v>
      </c>
    </row>
    <row r="162" spans="1:38" ht="12.75">
      <c r="A162" s="121" t="s">
        <v>138</v>
      </c>
      <c r="B162" s="1" t="s">
        <v>270</v>
      </c>
      <c r="C162" s="1" t="s">
        <v>463</v>
      </c>
      <c r="D162" s="1" t="s">
        <v>543</v>
      </c>
      <c r="E162" s="6">
        <v>1</v>
      </c>
      <c r="F162" s="22">
        <v>0</v>
      </c>
      <c r="G162" s="18">
        <f t="shared" si="33"/>
        <v>0</v>
      </c>
      <c r="H162" s="6">
        <v>0.83819</v>
      </c>
      <c r="I162" s="6">
        <f t="shared" si="34"/>
        <v>0.83819</v>
      </c>
      <c r="J162" s="6"/>
      <c r="K162" s="15"/>
      <c r="L162" s="15"/>
      <c r="M162" s="15"/>
      <c r="N162" s="15"/>
      <c r="O162" s="15"/>
      <c r="P162" s="15"/>
      <c r="Q162" s="15"/>
      <c r="R162" s="15"/>
      <c r="S162" s="15"/>
      <c r="U162" s="6">
        <f>IF(Y162=0,#REF!,0)</f>
        <v>0</v>
      </c>
      <c r="V162" s="6">
        <f>IF(Y162=15,#REF!,0)</f>
        <v>0</v>
      </c>
      <c r="W162" s="6" t="e">
        <f>IF(Y162=21,#REF!,0)</f>
        <v>#REF!</v>
      </c>
      <c r="Y162" s="10">
        <v>21</v>
      </c>
      <c r="Z162" s="10">
        <f>F162*0.295668065322592</f>
        <v>0</v>
      </c>
      <c r="AA162" s="10">
        <f>F162*(1-0.295668065322592)</f>
        <v>0</v>
      </c>
      <c r="AH162" s="10">
        <f t="shared" si="35"/>
        <v>0</v>
      </c>
      <c r="AI162" s="10">
        <f t="shared" si="36"/>
        <v>0</v>
      </c>
      <c r="AJ162" s="11" t="s">
        <v>582</v>
      </c>
      <c r="AK162" s="11" t="s">
        <v>605</v>
      </c>
      <c r="AL162" s="9" t="s">
        <v>612</v>
      </c>
    </row>
    <row r="163" spans="1:38" ht="12.75">
      <c r="A163" s="121" t="s">
        <v>139</v>
      </c>
      <c r="B163" s="2" t="s">
        <v>277</v>
      </c>
      <c r="C163" s="2" t="s">
        <v>464</v>
      </c>
      <c r="D163" s="2" t="s">
        <v>543</v>
      </c>
      <c r="E163" s="7">
        <v>1</v>
      </c>
      <c r="F163" s="22">
        <v>0</v>
      </c>
      <c r="G163" s="18">
        <f t="shared" si="33"/>
        <v>0</v>
      </c>
      <c r="H163" s="7">
        <v>0.032</v>
      </c>
      <c r="I163" s="7">
        <f t="shared" si="34"/>
        <v>0.032</v>
      </c>
      <c r="J163" s="7"/>
      <c r="K163" s="15"/>
      <c r="L163" s="15"/>
      <c r="M163" s="15"/>
      <c r="N163" s="15"/>
      <c r="O163" s="15"/>
      <c r="P163" s="15"/>
      <c r="Q163" s="15"/>
      <c r="R163" s="15"/>
      <c r="S163" s="15"/>
      <c r="U163" s="7">
        <f>IF(Y163=0,#REF!,0)</f>
        <v>0</v>
      </c>
      <c r="V163" s="7">
        <f>IF(Y163=15,#REF!,0)</f>
        <v>0</v>
      </c>
      <c r="W163" s="7" t="e">
        <f>IF(Y163=21,#REF!,0)</f>
        <v>#REF!</v>
      </c>
      <c r="Y163" s="10">
        <v>21</v>
      </c>
      <c r="Z163" s="10">
        <f>F163*1</f>
        <v>0</v>
      </c>
      <c r="AA163" s="10">
        <f>F163*(1-1)</f>
        <v>0</v>
      </c>
      <c r="AH163" s="10">
        <f t="shared" si="35"/>
        <v>0</v>
      </c>
      <c r="AI163" s="10">
        <f t="shared" si="36"/>
        <v>0</v>
      </c>
      <c r="AJ163" s="11" t="s">
        <v>582</v>
      </c>
      <c r="AK163" s="11" t="s">
        <v>605</v>
      </c>
      <c r="AL163" s="9" t="s">
        <v>612</v>
      </c>
    </row>
    <row r="164" spans="1:38" ht="12.75">
      <c r="A164" s="121" t="s">
        <v>140</v>
      </c>
      <c r="B164" s="1" t="s">
        <v>278</v>
      </c>
      <c r="C164" s="1" t="s">
        <v>465</v>
      </c>
      <c r="D164" s="1" t="s">
        <v>543</v>
      </c>
      <c r="E164" s="6">
        <v>1</v>
      </c>
      <c r="F164" s="22">
        <v>0</v>
      </c>
      <c r="G164" s="18">
        <f t="shared" si="33"/>
        <v>0</v>
      </c>
      <c r="H164" s="6">
        <v>0.08696</v>
      </c>
      <c r="I164" s="6">
        <f t="shared" si="34"/>
        <v>0.08696</v>
      </c>
      <c r="J164" s="6"/>
      <c r="K164" s="15"/>
      <c r="L164" s="15"/>
      <c r="M164" s="15"/>
      <c r="N164" s="15"/>
      <c r="O164" s="15"/>
      <c r="P164" s="15"/>
      <c r="Q164" s="15"/>
      <c r="R164" s="15"/>
      <c r="S164" s="15"/>
      <c r="U164" s="6">
        <f>IF(Y164=0,#REF!,0)</f>
        <v>0</v>
      </c>
      <c r="V164" s="6">
        <f>IF(Y164=15,#REF!,0)</f>
        <v>0</v>
      </c>
      <c r="W164" s="6" t="e">
        <f>IF(Y164=21,#REF!,0)</f>
        <v>#REF!</v>
      </c>
      <c r="Y164" s="10">
        <v>21</v>
      </c>
      <c r="Z164" s="10">
        <f>F164*0.224292168674699</f>
        <v>0</v>
      </c>
      <c r="AA164" s="10">
        <f>F164*(1-0.224292168674699)</f>
        <v>0</v>
      </c>
      <c r="AH164" s="10">
        <f t="shared" si="35"/>
        <v>0</v>
      </c>
      <c r="AI164" s="10">
        <f t="shared" si="36"/>
        <v>0</v>
      </c>
      <c r="AJ164" s="11" t="s">
        <v>582</v>
      </c>
      <c r="AK164" s="11" t="s">
        <v>605</v>
      </c>
      <c r="AL164" s="9" t="s">
        <v>612</v>
      </c>
    </row>
    <row r="165" spans="1:38" ht="12.75">
      <c r="A165" s="121" t="s">
        <v>141</v>
      </c>
      <c r="B165" s="1" t="s">
        <v>279</v>
      </c>
      <c r="C165" s="1" t="s">
        <v>466</v>
      </c>
      <c r="D165" s="1" t="s">
        <v>543</v>
      </c>
      <c r="E165" s="6">
        <v>1</v>
      </c>
      <c r="F165" s="22">
        <v>0</v>
      </c>
      <c r="G165" s="18">
        <f t="shared" si="33"/>
        <v>0</v>
      </c>
      <c r="H165" s="6">
        <v>1.41408</v>
      </c>
      <c r="I165" s="6">
        <f t="shared" si="34"/>
        <v>1.41408</v>
      </c>
      <c r="J165" s="6"/>
      <c r="K165" s="15"/>
      <c r="L165" s="15"/>
      <c r="M165" s="15"/>
      <c r="N165" s="15"/>
      <c r="O165" s="15"/>
      <c r="P165" s="15"/>
      <c r="Q165" s="15"/>
      <c r="R165" s="15"/>
      <c r="S165" s="15"/>
      <c r="U165" s="6">
        <f>IF(Y165=0,#REF!,0)</f>
        <v>0</v>
      </c>
      <c r="V165" s="6">
        <f>IF(Y165=15,#REF!,0)</f>
        <v>0</v>
      </c>
      <c r="W165" s="6" t="e">
        <f>IF(Y165=21,#REF!,0)</f>
        <v>#REF!</v>
      </c>
      <c r="Y165" s="10">
        <v>21</v>
      </c>
      <c r="Z165" s="10">
        <f>F165*0.310082659867588</f>
        <v>0</v>
      </c>
      <c r="AA165" s="10">
        <f>F165*(1-0.310082659867588)</f>
        <v>0</v>
      </c>
      <c r="AH165" s="10">
        <f t="shared" si="35"/>
        <v>0</v>
      </c>
      <c r="AI165" s="10">
        <f t="shared" si="36"/>
        <v>0</v>
      </c>
      <c r="AJ165" s="11" t="s">
        <v>582</v>
      </c>
      <c r="AK165" s="11" t="s">
        <v>605</v>
      </c>
      <c r="AL165" s="9" t="s">
        <v>612</v>
      </c>
    </row>
    <row r="166" spans="1:38" ht="12.75">
      <c r="A166" s="121" t="s">
        <v>142</v>
      </c>
      <c r="B166" s="2" t="s">
        <v>280</v>
      </c>
      <c r="C166" s="2" t="s">
        <v>467</v>
      </c>
      <c r="D166" s="2" t="s">
        <v>543</v>
      </c>
      <c r="E166" s="7">
        <v>1</v>
      </c>
      <c r="F166" s="22">
        <v>0</v>
      </c>
      <c r="G166" s="18">
        <f t="shared" si="33"/>
        <v>0</v>
      </c>
      <c r="H166" s="7">
        <v>0.055</v>
      </c>
      <c r="I166" s="7">
        <f t="shared" si="34"/>
        <v>0.055</v>
      </c>
      <c r="J166" s="7"/>
      <c r="K166" s="15"/>
      <c r="L166" s="15"/>
      <c r="M166" s="15"/>
      <c r="N166" s="15"/>
      <c r="O166" s="15"/>
      <c r="P166" s="15"/>
      <c r="Q166" s="15"/>
      <c r="R166" s="15"/>
      <c r="S166" s="15"/>
      <c r="U166" s="7">
        <f>IF(Y166=0,#REF!,0)</f>
        <v>0</v>
      </c>
      <c r="V166" s="7">
        <f>IF(Y166=15,#REF!,0)</f>
        <v>0</v>
      </c>
      <c r="W166" s="7" t="e">
        <f>IF(Y166=21,#REF!,0)</f>
        <v>#REF!</v>
      </c>
      <c r="Y166" s="10">
        <v>21</v>
      </c>
      <c r="Z166" s="10">
        <f>F166*1</f>
        <v>0</v>
      </c>
      <c r="AA166" s="10">
        <f>F166*(1-1)</f>
        <v>0</v>
      </c>
      <c r="AH166" s="10">
        <f t="shared" si="35"/>
        <v>0</v>
      </c>
      <c r="AI166" s="10">
        <f t="shared" si="36"/>
        <v>0</v>
      </c>
      <c r="AJ166" s="11" t="s">
        <v>582</v>
      </c>
      <c r="AK166" s="11" t="s">
        <v>605</v>
      </c>
      <c r="AL166" s="9" t="s">
        <v>612</v>
      </c>
    </row>
    <row r="167" spans="1:32" ht="12.75">
      <c r="A167" s="68"/>
      <c r="B167" s="5" t="s">
        <v>91</v>
      </c>
      <c r="C167" s="480" t="s">
        <v>468</v>
      </c>
      <c r="D167" s="481"/>
      <c r="E167" s="481"/>
      <c r="F167" s="481"/>
      <c r="G167" s="19">
        <f>SUM(G168:G169)</f>
        <v>0</v>
      </c>
      <c r="H167" s="9"/>
      <c r="I167" s="13">
        <f>SUM(I168:I169)</f>
        <v>2.3222</v>
      </c>
      <c r="J167" s="15"/>
      <c r="K167" s="13">
        <f>IF(L167="PR",#REF!,SUM(J168:J169))</f>
        <v>0</v>
      </c>
      <c r="L167" s="9" t="s">
        <v>556</v>
      </c>
      <c r="M167" s="13" t="e">
        <f>IF(L167="HS",#REF!,0)</f>
        <v>#REF!</v>
      </c>
      <c r="N167" s="13">
        <f>IF(L167="HS",G167-K167,0)</f>
        <v>0</v>
      </c>
      <c r="O167" s="13">
        <f>IF(L167="PS",#REF!,0)</f>
        <v>0</v>
      </c>
      <c r="P167" s="13">
        <f>IF(L167="PS",G167-K167,0)</f>
        <v>0</v>
      </c>
      <c r="Q167" s="13">
        <f>IF(L167="MP",#REF!,0)</f>
        <v>0</v>
      </c>
      <c r="R167" s="13">
        <f>IF(L167="MP",G167-K167,0)</f>
        <v>0</v>
      </c>
      <c r="S167" s="13">
        <f>IF(L167="OM",#REF!,0)</f>
        <v>0</v>
      </c>
      <c r="T167" s="9"/>
      <c r="AD167" s="13">
        <f>SUM(U168:U169)</f>
        <v>0</v>
      </c>
      <c r="AE167" s="13">
        <f>SUM(V168:V169)</f>
        <v>0</v>
      </c>
      <c r="AF167" s="13" t="e">
        <f>SUM(W168:W169)</f>
        <v>#REF!</v>
      </c>
    </row>
    <row r="168" spans="1:38" ht="12.75">
      <c r="A168" s="121" t="s">
        <v>143</v>
      </c>
      <c r="B168" s="1" t="s">
        <v>281</v>
      </c>
      <c r="C168" s="1" t="s">
        <v>469</v>
      </c>
      <c r="D168" s="1" t="s">
        <v>541</v>
      </c>
      <c r="E168" s="6">
        <v>7</v>
      </c>
      <c r="F168" s="22">
        <v>0</v>
      </c>
      <c r="G168" s="18">
        <f>E168*F168</f>
        <v>0</v>
      </c>
      <c r="H168" s="6">
        <v>0.225</v>
      </c>
      <c r="I168" s="6">
        <f>E168*H168</f>
        <v>1.575</v>
      </c>
      <c r="J168" s="6"/>
      <c r="K168" s="15"/>
      <c r="L168" s="15"/>
      <c r="M168" s="15"/>
      <c r="N168" s="15"/>
      <c r="O168" s="15"/>
      <c r="P168" s="15"/>
      <c r="Q168" s="15"/>
      <c r="R168" s="15"/>
      <c r="S168" s="15"/>
      <c r="U168" s="6">
        <f>IF(Y168=0,#REF!,0)</f>
        <v>0</v>
      </c>
      <c r="V168" s="6">
        <f>IF(Y168=15,#REF!,0)</f>
        <v>0</v>
      </c>
      <c r="W168" s="6" t="e">
        <f>IF(Y168=21,#REF!,0)</f>
        <v>#REF!</v>
      </c>
      <c r="Y168" s="10">
        <v>21</v>
      </c>
      <c r="Z168" s="10">
        <f>F168*0.470164383561644</f>
        <v>0</v>
      </c>
      <c r="AA168" s="10">
        <f>F168*(1-0.470164383561644)</f>
        <v>0</v>
      </c>
      <c r="AH168" s="10">
        <f>E168*Z168</f>
        <v>0</v>
      </c>
      <c r="AI168" s="10">
        <f>E168*AA168</f>
        <v>0</v>
      </c>
      <c r="AJ168" s="11" t="s">
        <v>583</v>
      </c>
      <c r="AK168" s="11" t="s">
        <v>606</v>
      </c>
      <c r="AL168" s="9" t="s">
        <v>612</v>
      </c>
    </row>
    <row r="169" spans="1:38" ht="12.75">
      <c r="A169" s="122" t="s">
        <v>144</v>
      </c>
      <c r="B169" s="2" t="s">
        <v>282</v>
      </c>
      <c r="C169" s="2" t="s">
        <v>470</v>
      </c>
      <c r="D169" s="2" t="s">
        <v>543</v>
      </c>
      <c r="E169" s="7">
        <v>8</v>
      </c>
      <c r="F169" s="22">
        <v>0</v>
      </c>
      <c r="G169" s="18">
        <f>E169*F169</f>
        <v>0</v>
      </c>
      <c r="H169" s="7">
        <v>0.0934</v>
      </c>
      <c r="I169" s="7">
        <f>E169*H169</f>
        <v>0.7472</v>
      </c>
      <c r="J169" s="7"/>
      <c r="K169" s="15"/>
      <c r="L169" s="15"/>
      <c r="M169" s="15"/>
      <c r="N169" s="15"/>
      <c r="O169" s="15"/>
      <c r="P169" s="15"/>
      <c r="Q169" s="15"/>
      <c r="R169" s="15"/>
      <c r="S169" s="15"/>
      <c r="U169" s="7">
        <f>IF(Y169=0,#REF!,0)</f>
        <v>0</v>
      </c>
      <c r="V169" s="7">
        <f>IF(Y169=15,#REF!,0)</f>
        <v>0</v>
      </c>
      <c r="W169" s="7" t="e">
        <f>IF(Y169=21,#REF!,0)</f>
        <v>#REF!</v>
      </c>
      <c r="Y169" s="10">
        <v>21</v>
      </c>
      <c r="Z169" s="10">
        <f>F169*1</f>
        <v>0</v>
      </c>
      <c r="AA169" s="10">
        <f>F169*(1-1)</f>
        <v>0</v>
      </c>
      <c r="AH169" s="10">
        <f>E169*Z169</f>
        <v>0</v>
      </c>
      <c r="AI169" s="10">
        <f>E169*AA169</f>
        <v>0</v>
      </c>
      <c r="AJ169" s="11" t="s">
        <v>583</v>
      </c>
      <c r="AK169" s="11" t="s">
        <v>606</v>
      </c>
      <c r="AL169" s="9" t="s">
        <v>612</v>
      </c>
    </row>
    <row r="170" spans="1:32" ht="12.75">
      <c r="A170" s="68"/>
      <c r="B170" s="5" t="s">
        <v>94</v>
      </c>
      <c r="C170" s="480" t="s">
        <v>471</v>
      </c>
      <c r="D170" s="481"/>
      <c r="E170" s="481"/>
      <c r="F170" s="481"/>
      <c r="G170" s="19">
        <f>SUM(G171:G171)</f>
        <v>0</v>
      </c>
      <c r="H170" s="9"/>
      <c r="I170" s="13">
        <f>SUM(I171:I171)</f>
        <v>0.34153459999999997</v>
      </c>
      <c r="J170" s="15"/>
      <c r="K170" s="13">
        <f>IF(L170="PR",#REF!,SUM(J171:J171))</f>
        <v>0</v>
      </c>
      <c r="L170" s="9" t="s">
        <v>556</v>
      </c>
      <c r="M170" s="13" t="e">
        <f>IF(L170="HS",#REF!,0)</f>
        <v>#REF!</v>
      </c>
      <c r="N170" s="13">
        <f>IF(L170="HS",G170-K170,0)</f>
        <v>0</v>
      </c>
      <c r="O170" s="13">
        <f>IF(L170="PS",#REF!,0)</f>
        <v>0</v>
      </c>
      <c r="P170" s="13">
        <f>IF(L170="PS",G170-K170,0)</f>
        <v>0</v>
      </c>
      <c r="Q170" s="13">
        <f>IF(L170="MP",#REF!,0)</f>
        <v>0</v>
      </c>
      <c r="R170" s="13">
        <f>IF(L170="MP",G170-K170,0)</f>
        <v>0</v>
      </c>
      <c r="S170" s="13">
        <f>IF(L170="OM",#REF!,0)</f>
        <v>0</v>
      </c>
      <c r="T170" s="9"/>
      <c r="AD170" s="13">
        <f>SUM(U171:U171)</f>
        <v>0</v>
      </c>
      <c r="AE170" s="13">
        <f>SUM(V171:V171)</f>
        <v>0</v>
      </c>
      <c r="AF170" s="13" t="e">
        <f>SUM(W171:W171)</f>
        <v>#REF!</v>
      </c>
    </row>
    <row r="171" spans="1:38" ht="12.75">
      <c r="A171" s="121" t="s">
        <v>145</v>
      </c>
      <c r="B171" s="1" t="s">
        <v>283</v>
      </c>
      <c r="C171" s="1" t="s">
        <v>472</v>
      </c>
      <c r="D171" s="1" t="s">
        <v>540</v>
      </c>
      <c r="E171" s="6">
        <v>282.26</v>
      </c>
      <c r="F171" s="22">
        <v>0</v>
      </c>
      <c r="G171" s="18">
        <f>E171*F171</f>
        <v>0</v>
      </c>
      <c r="H171" s="6">
        <v>0.00121</v>
      </c>
      <c r="I171" s="6">
        <f>E171*H171</f>
        <v>0.34153459999999997</v>
      </c>
      <c r="J171" s="6"/>
      <c r="K171" s="15"/>
      <c r="L171" s="15"/>
      <c r="M171" s="15"/>
      <c r="N171" s="15"/>
      <c r="O171" s="15"/>
      <c r="P171" s="15"/>
      <c r="Q171" s="15"/>
      <c r="R171" s="15"/>
      <c r="S171" s="15"/>
      <c r="U171" s="6">
        <f>IF(Y171=0,#REF!,0)</f>
        <v>0</v>
      </c>
      <c r="V171" s="6">
        <f>IF(Y171=15,#REF!,0)</f>
        <v>0</v>
      </c>
      <c r="W171" s="6" t="e">
        <f>IF(Y171=21,#REF!,0)</f>
        <v>#REF!</v>
      </c>
      <c r="Y171" s="10">
        <v>21</v>
      </c>
      <c r="Z171" s="10">
        <f>F171*0.426976051619308</f>
        <v>0</v>
      </c>
      <c r="AA171" s="10">
        <f>F171*(1-0.426976051619308)</f>
        <v>0</v>
      </c>
      <c r="AH171" s="10">
        <f>E171*Z171</f>
        <v>0</v>
      </c>
      <c r="AI171" s="10">
        <f>E171*AA171</f>
        <v>0</v>
      </c>
      <c r="AJ171" s="11" t="s">
        <v>584</v>
      </c>
      <c r="AK171" s="11" t="s">
        <v>606</v>
      </c>
      <c r="AL171" s="9" t="s">
        <v>612</v>
      </c>
    </row>
    <row r="172" spans="1:32" ht="12.75">
      <c r="A172" s="68"/>
      <c r="B172" s="5" t="s">
        <v>95</v>
      </c>
      <c r="C172" s="480" t="s">
        <v>473</v>
      </c>
      <c r="D172" s="481"/>
      <c r="E172" s="481"/>
      <c r="F172" s="481"/>
      <c r="G172" s="19">
        <f>SUM(G173:G173)</f>
        <v>0</v>
      </c>
      <c r="H172" s="9"/>
      <c r="I172" s="13">
        <f>SUM(I173:I173)</f>
        <v>0.0112904</v>
      </c>
      <c r="J172" s="15"/>
      <c r="K172" s="13">
        <f>IF(L172="PR",#REF!,SUM(J173:J173))</f>
        <v>0</v>
      </c>
      <c r="L172" s="9" t="s">
        <v>556</v>
      </c>
      <c r="M172" s="13" t="e">
        <f>IF(L172="HS",#REF!,0)</f>
        <v>#REF!</v>
      </c>
      <c r="N172" s="13">
        <f>IF(L172="HS",G172-K172,0)</f>
        <v>0</v>
      </c>
      <c r="O172" s="13">
        <f>IF(L172="PS",#REF!,0)</f>
        <v>0</v>
      </c>
      <c r="P172" s="13">
        <f>IF(L172="PS",G172-K172,0)</f>
        <v>0</v>
      </c>
      <c r="Q172" s="13">
        <f>IF(L172="MP",#REF!,0)</f>
        <v>0</v>
      </c>
      <c r="R172" s="13">
        <f>IF(L172="MP",G172-K172,0)</f>
        <v>0</v>
      </c>
      <c r="S172" s="13">
        <f>IF(L172="OM",#REF!,0)</f>
        <v>0</v>
      </c>
      <c r="T172" s="9"/>
      <c r="AD172" s="13">
        <f>SUM(U173:U173)</f>
        <v>0</v>
      </c>
      <c r="AE172" s="13">
        <f>SUM(V173:V173)</f>
        <v>0</v>
      </c>
      <c r="AF172" s="13" t="e">
        <f>SUM(W173:W173)</f>
        <v>#REF!</v>
      </c>
    </row>
    <row r="173" spans="1:38" ht="12.75">
      <c r="A173" s="121" t="s">
        <v>146</v>
      </c>
      <c r="B173" s="1" t="s">
        <v>284</v>
      </c>
      <c r="C173" s="1" t="s">
        <v>474</v>
      </c>
      <c r="D173" s="1" t="s">
        <v>540</v>
      </c>
      <c r="E173" s="6">
        <v>282.26</v>
      </c>
      <c r="F173" s="22">
        <v>0</v>
      </c>
      <c r="G173" s="18">
        <f aca="true" t="shared" si="37" ref="G173:G184">E173*F173</f>
        <v>0</v>
      </c>
      <c r="H173" s="6">
        <v>4E-05</v>
      </c>
      <c r="I173" s="6">
        <f>E173*H173</f>
        <v>0.0112904</v>
      </c>
      <c r="J173" s="6"/>
      <c r="K173" s="15"/>
      <c r="L173" s="15"/>
      <c r="M173" s="15"/>
      <c r="N173" s="15"/>
      <c r="O173" s="15"/>
      <c r="P173" s="15"/>
      <c r="Q173" s="15"/>
      <c r="R173" s="15"/>
      <c r="S173" s="15"/>
      <c r="U173" s="6">
        <f>IF(Y173=0,#REF!,0)</f>
        <v>0</v>
      </c>
      <c r="V173" s="6">
        <f>IF(Y173=15,#REF!,0)</f>
        <v>0</v>
      </c>
      <c r="W173" s="6" t="e">
        <f>IF(Y173=21,#REF!,0)</f>
        <v>#REF!</v>
      </c>
      <c r="Y173" s="10">
        <v>21</v>
      </c>
      <c r="Z173" s="10">
        <f>F173*0.0188928524243625</f>
        <v>0</v>
      </c>
      <c r="AA173" s="10">
        <f>F173*(1-0.0188928524243625)</f>
        <v>0</v>
      </c>
      <c r="AH173" s="10">
        <f>E173*Z173</f>
        <v>0</v>
      </c>
      <c r="AI173" s="10">
        <f>E173*AA173</f>
        <v>0</v>
      </c>
      <c r="AJ173" s="11" t="s">
        <v>585</v>
      </c>
      <c r="AK173" s="11" t="s">
        <v>606</v>
      </c>
      <c r="AL173" s="9" t="s">
        <v>612</v>
      </c>
    </row>
    <row r="174" spans="1:32" ht="12.75">
      <c r="A174" s="68"/>
      <c r="B174" s="5" t="s">
        <v>285</v>
      </c>
      <c r="C174" s="480" t="s">
        <v>475</v>
      </c>
      <c r="D174" s="481"/>
      <c r="E174" s="481"/>
      <c r="F174" s="481"/>
      <c r="G174" s="19">
        <f>SUM(G175:G175)</f>
        <v>0</v>
      </c>
      <c r="H174" s="9"/>
      <c r="I174" s="13">
        <f>SUM(I175:I175)</f>
        <v>0</v>
      </c>
      <c r="J174" s="15"/>
      <c r="K174" s="13">
        <f>IF(L174="PR",#REF!,SUM(J175:J175))</f>
        <v>0</v>
      </c>
      <c r="L174" s="9" t="s">
        <v>556</v>
      </c>
      <c r="M174" s="13" t="e">
        <f>IF(L174="HS",#REF!,0)</f>
        <v>#REF!</v>
      </c>
      <c r="N174" s="13">
        <f>IF(L174="HS",G174-K174,0)</f>
        <v>0</v>
      </c>
      <c r="O174" s="13">
        <f>IF(L174="PS",#REF!,0)</f>
        <v>0</v>
      </c>
      <c r="P174" s="13">
        <f>IF(L174="PS",G174-K174,0)</f>
        <v>0</v>
      </c>
      <c r="Q174" s="13">
        <f>IF(L174="MP",#REF!,0)</f>
        <v>0</v>
      </c>
      <c r="R174" s="13">
        <f>IF(L174="MP",G174-K174,0)</f>
        <v>0</v>
      </c>
      <c r="S174" s="13">
        <f>IF(L174="OM",#REF!,0)</f>
        <v>0</v>
      </c>
      <c r="T174" s="9"/>
      <c r="AD174" s="13">
        <f>SUM(U175:U175)</f>
        <v>0</v>
      </c>
      <c r="AE174" s="13">
        <f>SUM(V175:V175)</f>
        <v>0</v>
      </c>
      <c r="AF174" s="13" t="e">
        <f>SUM(W175:W175)</f>
        <v>#REF!</v>
      </c>
    </row>
    <row r="175" spans="1:38" ht="12.75">
      <c r="A175" s="121" t="s">
        <v>147</v>
      </c>
      <c r="B175" s="1" t="s">
        <v>286</v>
      </c>
      <c r="C175" s="1" t="s">
        <v>476</v>
      </c>
      <c r="D175" s="1" t="s">
        <v>542</v>
      </c>
      <c r="E175" s="6">
        <v>160.99</v>
      </c>
      <c r="F175" s="22">
        <v>0</v>
      </c>
      <c r="G175" s="18">
        <f t="shared" si="37"/>
        <v>0</v>
      </c>
      <c r="H175" s="6">
        <v>0</v>
      </c>
      <c r="I175" s="6">
        <f>E175*H175</f>
        <v>0</v>
      </c>
      <c r="J175" s="6"/>
      <c r="K175" s="15"/>
      <c r="L175" s="15"/>
      <c r="M175" s="15"/>
      <c r="N175" s="15"/>
      <c r="O175" s="15"/>
      <c r="P175" s="15"/>
      <c r="Q175" s="15"/>
      <c r="R175" s="15"/>
      <c r="S175" s="15"/>
      <c r="U175" s="6">
        <f>IF(Y175=0,#REF!,0)</f>
        <v>0</v>
      </c>
      <c r="V175" s="6">
        <f>IF(Y175=15,#REF!,0)</f>
        <v>0</v>
      </c>
      <c r="W175" s="6" t="e">
        <f>IF(Y175=21,#REF!,0)</f>
        <v>#REF!</v>
      </c>
      <c r="Y175" s="10">
        <v>21</v>
      </c>
      <c r="Z175" s="10">
        <f>F175*0</f>
        <v>0</v>
      </c>
      <c r="AA175" s="10">
        <f>F175*(1-0)</f>
        <v>0</v>
      </c>
      <c r="AH175" s="10">
        <f>E175*Z175</f>
        <v>0</v>
      </c>
      <c r="AI175" s="10">
        <f>E175*AA175</f>
        <v>0</v>
      </c>
      <c r="AJ175" s="11" t="s">
        <v>586</v>
      </c>
      <c r="AK175" s="11" t="s">
        <v>606</v>
      </c>
      <c r="AL175" s="9" t="s">
        <v>612</v>
      </c>
    </row>
    <row r="176" spans="1:32" ht="12.75">
      <c r="A176" s="68"/>
      <c r="B176" s="5" t="s">
        <v>287</v>
      </c>
      <c r="C176" s="480" t="s">
        <v>477</v>
      </c>
      <c r="D176" s="481"/>
      <c r="E176" s="481"/>
      <c r="F176" s="481"/>
      <c r="G176" s="19">
        <f>SUM(G177:G184)</f>
        <v>0</v>
      </c>
      <c r="H176" s="9"/>
      <c r="I176" s="13">
        <f>SUM(I177:I184)</f>
        <v>0.3134882</v>
      </c>
      <c r="J176" s="15"/>
      <c r="K176" s="13">
        <f>IF(L176="PR",#REF!,SUM(J177:J184))</f>
        <v>0</v>
      </c>
      <c r="L176" s="9" t="s">
        <v>557</v>
      </c>
      <c r="M176" s="13">
        <f>IF(L176="HS",#REF!,0)</f>
        <v>0</v>
      </c>
      <c r="N176" s="13">
        <f>IF(L176="HS",G176-K176,0)</f>
        <v>0</v>
      </c>
      <c r="O176" s="13" t="e">
        <f>IF(L176="PS",#REF!,0)</f>
        <v>#REF!</v>
      </c>
      <c r="P176" s="13">
        <f>IF(L176="PS",G176-K176,0)</f>
        <v>0</v>
      </c>
      <c r="Q176" s="13">
        <f>IF(L176="MP",#REF!,0)</f>
        <v>0</v>
      </c>
      <c r="R176" s="13">
        <f>IF(L176="MP",G176-K176,0)</f>
        <v>0</v>
      </c>
      <c r="S176" s="13">
        <f>IF(L176="OM",#REF!,0)</f>
        <v>0</v>
      </c>
      <c r="T176" s="9"/>
      <c r="AD176" s="13">
        <f>SUM(U177:U184)</f>
        <v>0</v>
      </c>
      <c r="AE176" s="13">
        <f>SUM(V177:V184)</f>
        <v>0</v>
      </c>
      <c r="AF176" s="13" t="e">
        <f>SUM(W177:W184)</f>
        <v>#REF!</v>
      </c>
    </row>
    <row r="177" spans="1:38" ht="12.75">
      <c r="A177" s="121" t="s">
        <v>148</v>
      </c>
      <c r="B177" s="1" t="s">
        <v>288</v>
      </c>
      <c r="C177" s="1" t="s">
        <v>478</v>
      </c>
      <c r="D177" s="1" t="s">
        <v>540</v>
      </c>
      <c r="E177" s="6">
        <v>0.33</v>
      </c>
      <c r="F177" s="22">
        <v>0</v>
      </c>
      <c r="G177" s="18">
        <f t="shared" si="37"/>
        <v>0</v>
      </c>
      <c r="H177" s="6">
        <v>0.00115</v>
      </c>
      <c r="I177" s="6">
        <f aca="true" t="shared" si="38" ref="I177:I184">E177*H177</f>
        <v>0.0003795</v>
      </c>
      <c r="J177" s="6"/>
      <c r="K177" s="15"/>
      <c r="L177" s="15"/>
      <c r="M177" s="15"/>
      <c r="N177" s="15"/>
      <c r="O177" s="15"/>
      <c r="P177" s="15"/>
      <c r="Q177" s="15"/>
      <c r="R177" s="15"/>
      <c r="S177" s="15"/>
      <c r="U177" s="6">
        <f>IF(Y177=0,#REF!,0)</f>
        <v>0</v>
      </c>
      <c r="V177" s="6">
        <f>IF(Y177=15,#REF!,0)</f>
        <v>0</v>
      </c>
      <c r="W177" s="6" t="e">
        <f>IF(Y177=21,#REF!,0)</f>
        <v>#REF!</v>
      </c>
      <c r="Y177" s="10">
        <v>21</v>
      </c>
      <c r="Z177" s="10">
        <f>F177*0.787074829931973</f>
        <v>0</v>
      </c>
      <c r="AA177" s="10">
        <f>F177*(1-0.787074829931973)</f>
        <v>0</v>
      </c>
      <c r="AH177" s="10">
        <f aca="true" t="shared" si="39" ref="AH177:AH184">E177*Z177</f>
        <v>0</v>
      </c>
      <c r="AI177" s="10">
        <f aca="true" t="shared" si="40" ref="AI177:AI184">E177*AA177</f>
        <v>0</v>
      </c>
      <c r="AJ177" s="11" t="s">
        <v>587</v>
      </c>
      <c r="AK177" s="11" t="s">
        <v>607</v>
      </c>
      <c r="AL177" s="9" t="s">
        <v>612</v>
      </c>
    </row>
    <row r="178" spans="1:38" s="252" customFormat="1" ht="12.75">
      <c r="A178" s="121" t="s">
        <v>149</v>
      </c>
      <c r="B178" s="1" t="s">
        <v>289</v>
      </c>
      <c r="C178" s="1" t="s">
        <v>965</v>
      </c>
      <c r="D178" s="1" t="s">
        <v>540</v>
      </c>
      <c r="E178" s="6">
        <v>1.45</v>
      </c>
      <c r="F178" s="22">
        <v>0</v>
      </c>
      <c r="G178" s="18">
        <f t="shared" si="37"/>
        <v>0</v>
      </c>
      <c r="H178" s="6">
        <v>0.00483</v>
      </c>
      <c r="I178" s="6">
        <f t="shared" si="38"/>
        <v>0.0070035</v>
      </c>
      <c r="J178" s="6"/>
      <c r="K178" s="251"/>
      <c r="L178" s="251"/>
      <c r="M178" s="251"/>
      <c r="N178" s="251"/>
      <c r="O178" s="251"/>
      <c r="P178" s="251"/>
      <c r="Q178" s="251"/>
      <c r="R178" s="251"/>
      <c r="S178" s="251"/>
      <c r="U178" s="6">
        <f>IF(Y178=0,#REF!,0)</f>
        <v>0</v>
      </c>
      <c r="V178" s="6">
        <f>IF(Y178=15,#REF!,0)</f>
        <v>0</v>
      </c>
      <c r="W178" s="6" t="e">
        <f>IF(Y178=21,#REF!,0)</f>
        <v>#REF!</v>
      </c>
      <c r="Y178" s="10">
        <v>21</v>
      </c>
      <c r="Z178" s="10">
        <f>F178*0.890762711864407</f>
        <v>0</v>
      </c>
      <c r="AA178" s="10">
        <f>F178*(1-0.890762711864407)</f>
        <v>0</v>
      </c>
      <c r="AH178" s="10">
        <f t="shared" si="39"/>
        <v>0</v>
      </c>
      <c r="AI178" s="10">
        <f t="shared" si="40"/>
        <v>0</v>
      </c>
      <c r="AJ178" s="11" t="s">
        <v>587</v>
      </c>
      <c r="AK178" s="11" t="s">
        <v>607</v>
      </c>
      <c r="AL178" s="253" t="s">
        <v>612</v>
      </c>
    </row>
    <row r="179" spans="1:38" ht="12.75">
      <c r="A179" s="121" t="s">
        <v>150</v>
      </c>
      <c r="B179" s="1" t="s">
        <v>290</v>
      </c>
      <c r="C179" s="98" t="s">
        <v>864</v>
      </c>
      <c r="D179" s="1" t="s">
        <v>540</v>
      </c>
      <c r="E179" s="6">
        <v>46.2</v>
      </c>
      <c r="F179" s="22">
        <v>0</v>
      </c>
      <c r="G179" s="18">
        <f t="shared" si="37"/>
        <v>0</v>
      </c>
      <c r="H179" s="6">
        <v>0.00323</v>
      </c>
      <c r="I179" s="6">
        <f t="shared" si="38"/>
        <v>0.149226</v>
      </c>
      <c r="J179" s="6"/>
      <c r="K179" s="15"/>
      <c r="L179" s="15"/>
      <c r="M179" s="15"/>
      <c r="N179" s="15"/>
      <c r="O179" s="15"/>
      <c r="P179" s="15"/>
      <c r="Q179" s="15"/>
      <c r="R179" s="15"/>
      <c r="S179" s="15"/>
      <c r="U179" s="6">
        <f>IF(Y179=0,#REF!,0)</f>
        <v>0</v>
      </c>
      <c r="V179" s="6">
        <f>IF(Y179=15,#REF!,0)</f>
        <v>0</v>
      </c>
      <c r="W179" s="6" t="e">
        <f>IF(Y179=21,#REF!,0)</f>
        <v>#REF!</v>
      </c>
      <c r="Y179" s="10">
        <v>21</v>
      </c>
      <c r="Z179" s="10">
        <f>F179*0.690036308198431</f>
        <v>0</v>
      </c>
      <c r="AA179" s="10">
        <f>F179*(1-0.690036308198431)</f>
        <v>0</v>
      </c>
      <c r="AH179" s="10">
        <f t="shared" si="39"/>
        <v>0</v>
      </c>
      <c r="AI179" s="10">
        <f t="shared" si="40"/>
        <v>0</v>
      </c>
      <c r="AJ179" s="11" t="s">
        <v>587</v>
      </c>
      <c r="AK179" s="11" t="s">
        <v>607</v>
      </c>
      <c r="AL179" s="9" t="s">
        <v>612</v>
      </c>
    </row>
    <row r="180" spans="1:38" ht="12.75">
      <c r="A180" s="121" t="s">
        <v>151</v>
      </c>
      <c r="B180" s="1" t="s">
        <v>290</v>
      </c>
      <c r="C180" s="98" t="s">
        <v>865</v>
      </c>
      <c r="D180" s="1" t="s">
        <v>540</v>
      </c>
      <c r="E180" s="6">
        <v>24.9</v>
      </c>
      <c r="F180" s="22">
        <v>0</v>
      </c>
      <c r="G180" s="18">
        <f t="shared" si="37"/>
        <v>0</v>
      </c>
      <c r="H180" s="6">
        <v>0.00323</v>
      </c>
      <c r="I180" s="6">
        <f t="shared" si="38"/>
        <v>0.08042699999999998</v>
      </c>
      <c r="J180" s="6"/>
      <c r="K180" s="15"/>
      <c r="L180" s="15"/>
      <c r="M180" s="15"/>
      <c r="N180" s="15"/>
      <c r="O180" s="15"/>
      <c r="P180" s="15"/>
      <c r="Q180" s="15"/>
      <c r="R180" s="15"/>
      <c r="S180" s="15"/>
      <c r="U180" s="6">
        <f>IF(Y180=0,#REF!,0)</f>
        <v>0</v>
      </c>
      <c r="V180" s="6">
        <f>IF(Y180=15,#REF!,0)</f>
        <v>0</v>
      </c>
      <c r="W180" s="6" t="e">
        <f>IF(Y180=21,#REF!,0)</f>
        <v>#REF!</v>
      </c>
      <c r="Y180" s="10">
        <v>21</v>
      </c>
      <c r="Z180" s="10">
        <f>F180*0.690036308198431</f>
        <v>0</v>
      </c>
      <c r="AA180" s="10">
        <f>F180*(1-0.690036308198431)</f>
        <v>0</v>
      </c>
      <c r="AH180" s="10">
        <f t="shared" si="39"/>
        <v>0</v>
      </c>
      <c r="AI180" s="10">
        <f t="shared" si="40"/>
        <v>0</v>
      </c>
      <c r="AJ180" s="11" t="s">
        <v>587</v>
      </c>
      <c r="AK180" s="11" t="s">
        <v>607</v>
      </c>
      <c r="AL180" s="9" t="s">
        <v>612</v>
      </c>
    </row>
    <row r="181" spans="1:38" ht="12.75">
      <c r="A181" s="121" t="s">
        <v>152</v>
      </c>
      <c r="B181" s="1" t="s">
        <v>288</v>
      </c>
      <c r="C181" s="1" t="s">
        <v>479</v>
      </c>
      <c r="D181" s="1" t="s">
        <v>540</v>
      </c>
      <c r="E181" s="6">
        <v>4.14</v>
      </c>
      <c r="F181" s="22">
        <v>0</v>
      </c>
      <c r="G181" s="18">
        <f t="shared" si="37"/>
        <v>0</v>
      </c>
      <c r="H181" s="6">
        <v>0.00115</v>
      </c>
      <c r="I181" s="6">
        <f t="shared" si="38"/>
        <v>0.004761</v>
      </c>
      <c r="J181" s="6"/>
      <c r="K181" s="15"/>
      <c r="L181" s="15"/>
      <c r="M181" s="15"/>
      <c r="N181" s="15"/>
      <c r="O181" s="15"/>
      <c r="P181" s="15"/>
      <c r="Q181" s="15"/>
      <c r="R181" s="15"/>
      <c r="S181" s="15"/>
      <c r="U181" s="6">
        <f>IF(Y181=0,#REF!,0)</f>
        <v>0</v>
      </c>
      <c r="V181" s="6">
        <f>IF(Y181=15,#REF!,0)</f>
        <v>0</v>
      </c>
      <c r="W181" s="6" t="e">
        <f>IF(Y181=21,#REF!,0)</f>
        <v>#REF!</v>
      </c>
      <c r="Y181" s="10">
        <v>21</v>
      </c>
      <c r="Z181" s="10">
        <f>F181*0.787074829931973</f>
        <v>0</v>
      </c>
      <c r="AA181" s="10">
        <f>F181*(1-0.787074829931973)</f>
        <v>0</v>
      </c>
      <c r="AH181" s="10">
        <f t="shared" si="39"/>
        <v>0</v>
      </c>
      <c r="AI181" s="10">
        <f t="shared" si="40"/>
        <v>0</v>
      </c>
      <c r="AJ181" s="11" t="s">
        <v>587</v>
      </c>
      <c r="AK181" s="11" t="s">
        <v>607</v>
      </c>
      <c r="AL181" s="9" t="s">
        <v>612</v>
      </c>
    </row>
    <row r="182" spans="1:38" s="252" customFormat="1" ht="13.5" customHeight="1">
      <c r="A182" s="121" t="s">
        <v>153</v>
      </c>
      <c r="B182" s="1" t="s">
        <v>291</v>
      </c>
      <c r="C182" s="1" t="s">
        <v>480</v>
      </c>
      <c r="D182" s="1" t="s">
        <v>540</v>
      </c>
      <c r="E182" s="6">
        <v>12.11</v>
      </c>
      <c r="F182" s="22">
        <v>0</v>
      </c>
      <c r="G182" s="18">
        <f t="shared" si="37"/>
        <v>0</v>
      </c>
      <c r="H182" s="6">
        <v>0.00033</v>
      </c>
      <c r="I182" s="6">
        <f t="shared" si="38"/>
        <v>0.0039962999999999995</v>
      </c>
      <c r="J182" s="6"/>
      <c r="K182" s="251"/>
      <c r="L182" s="251"/>
      <c r="M182" s="251"/>
      <c r="N182" s="251"/>
      <c r="O182" s="251"/>
      <c r="P182" s="251"/>
      <c r="Q182" s="251"/>
      <c r="R182" s="251"/>
      <c r="S182" s="251"/>
      <c r="U182" s="6">
        <f>IF(Y182=0,#REF!,0)</f>
        <v>0</v>
      </c>
      <c r="V182" s="6">
        <f>IF(Y182=15,#REF!,0)</f>
        <v>0</v>
      </c>
      <c r="W182" s="6" t="e">
        <f>IF(Y182=21,#REF!,0)</f>
        <v>#REF!</v>
      </c>
      <c r="Y182" s="10">
        <v>21</v>
      </c>
      <c r="Z182" s="10">
        <f>F182*0.662139917695473</f>
        <v>0</v>
      </c>
      <c r="AA182" s="10">
        <f>F182*(1-0.662139917695473)</f>
        <v>0</v>
      </c>
      <c r="AH182" s="10">
        <f t="shared" si="39"/>
        <v>0</v>
      </c>
      <c r="AI182" s="10">
        <f t="shared" si="40"/>
        <v>0</v>
      </c>
      <c r="AJ182" s="11" t="s">
        <v>587</v>
      </c>
      <c r="AK182" s="11" t="s">
        <v>607</v>
      </c>
      <c r="AL182" s="253" t="s">
        <v>612</v>
      </c>
    </row>
    <row r="183" spans="1:38" s="252" customFormat="1" ht="27.75" customHeight="1">
      <c r="A183" s="121" t="s">
        <v>154</v>
      </c>
      <c r="B183" s="1" t="s">
        <v>292</v>
      </c>
      <c r="C183" s="255" t="s">
        <v>969</v>
      </c>
      <c r="D183" s="1" t="s">
        <v>540</v>
      </c>
      <c r="E183" s="6">
        <v>12.11</v>
      </c>
      <c r="F183" s="22">
        <v>0</v>
      </c>
      <c r="G183" s="18">
        <f t="shared" si="37"/>
        <v>0</v>
      </c>
      <c r="H183" s="6">
        <v>0.00559</v>
      </c>
      <c r="I183" s="6">
        <f t="shared" si="38"/>
        <v>0.0676949</v>
      </c>
      <c r="J183" s="6"/>
      <c r="K183" s="251"/>
      <c r="L183" s="251"/>
      <c r="M183" s="251"/>
      <c r="N183" s="251"/>
      <c r="O183" s="251"/>
      <c r="P183" s="251"/>
      <c r="Q183" s="251"/>
      <c r="R183" s="251"/>
      <c r="S183" s="251"/>
      <c r="U183" s="6">
        <f>IF(Y183=0,#REF!,0)</f>
        <v>0</v>
      </c>
      <c r="V183" s="6">
        <f>IF(Y183=15,#REF!,0)</f>
        <v>0</v>
      </c>
      <c r="W183" s="6" t="e">
        <f>IF(Y183=21,#REF!,0)</f>
        <v>#REF!</v>
      </c>
      <c r="Y183" s="10">
        <v>21</v>
      </c>
      <c r="Z183" s="10">
        <f>F183*0.602550724637681</f>
        <v>0</v>
      </c>
      <c r="AA183" s="10">
        <f>F183*(1-0.602550724637681)</f>
        <v>0</v>
      </c>
      <c r="AH183" s="10">
        <f t="shared" si="39"/>
        <v>0</v>
      </c>
      <c r="AI183" s="10">
        <f t="shared" si="40"/>
        <v>0</v>
      </c>
      <c r="AJ183" s="11" t="s">
        <v>587</v>
      </c>
      <c r="AK183" s="11" t="s">
        <v>607</v>
      </c>
      <c r="AL183" s="253" t="s">
        <v>612</v>
      </c>
    </row>
    <row r="184" spans="1:38" ht="12.75">
      <c r="A184" s="121" t="s">
        <v>155</v>
      </c>
      <c r="B184" s="1" t="s">
        <v>293</v>
      </c>
      <c r="C184" s="1" t="s">
        <v>481</v>
      </c>
      <c r="D184" s="1" t="s">
        <v>542</v>
      </c>
      <c r="E184" s="6">
        <v>0.31349</v>
      </c>
      <c r="F184" s="22">
        <v>0</v>
      </c>
      <c r="G184" s="18">
        <f t="shared" si="37"/>
        <v>0</v>
      </c>
      <c r="H184" s="6">
        <v>0</v>
      </c>
      <c r="I184" s="6">
        <f t="shared" si="38"/>
        <v>0</v>
      </c>
      <c r="J184" s="6"/>
      <c r="K184" s="15"/>
      <c r="L184" s="15"/>
      <c r="M184" s="15"/>
      <c r="N184" s="15"/>
      <c r="O184" s="15"/>
      <c r="P184" s="15"/>
      <c r="Q184" s="15"/>
      <c r="R184" s="15"/>
      <c r="S184" s="15"/>
      <c r="U184" s="6">
        <f>IF(Y184=0,#REF!,0)</f>
        <v>0</v>
      </c>
      <c r="V184" s="6">
        <f>IF(Y184=15,#REF!,0)</f>
        <v>0</v>
      </c>
      <c r="W184" s="6" t="e">
        <f>IF(Y184=21,#REF!,0)</f>
        <v>#REF!</v>
      </c>
      <c r="Y184" s="10">
        <v>21</v>
      </c>
      <c r="Z184" s="10">
        <f>F184*0</f>
        <v>0</v>
      </c>
      <c r="AA184" s="10">
        <f>F184*(1-0)</f>
        <v>0</v>
      </c>
      <c r="AH184" s="10">
        <f t="shared" si="39"/>
        <v>0</v>
      </c>
      <c r="AI184" s="10">
        <f t="shared" si="40"/>
        <v>0</v>
      </c>
      <c r="AJ184" s="11" t="s">
        <v>587</v>
      </c>
      <c r="AK184" s="11" t="s">
        <v>607</v>
      </c>
      <c r="AL184" s="9" t="s">
        <v>612</v>
      </c>
    </row>
    <row r="185" spans="1:32" ht="12.75">
      <c r="A185" s="68"/>
      <c r="B185" s="5" t="s">
        <v>294</v>
      </c>
      <c r="C185" s="480" t="s">
        <v>482</v>
      </c>
      <c r="D185" s="481"/>
      <c r="E185" s="481"/>
      <c r="F185" s="481"/>
      <c r="G185" s="19">
        <f>SUM(G186:G187)</f>
        <v>0</v>
      </c>
      <c r="H185" s="9"/>
      <c r="I185" s="13">
        <f>SUM(I186:I187)</f>
        <v>0.005425</v>
      </c>
      <c r="J185" s="15"/>
      <c r="K185" s="13">
        <f>IF(L185="PR",#REF!,SUM(J186:J187))</f>
        <v>0</v>
      </c>
      <c r="L185" s="9" t="s">
        <v>557</v>
      </c>
      <c r="M185" s="13">
        <f>IF(L185="HS",#REF!,0)</f>
        <v>0</v>
      </c>
      <c r="N185" s="13">
        <f>IF(L185="HS",G185-K185,0)</f>
        <v>0</v>
      </c>
      <c r="O185" s="13" t="e">
        <f>IF(L185="PS",#REF!,0)</f>
        <v>#REF!</v>
      </c>
      <c r="P185" s="13">
        <f>IF(L185="PS",G185-K185,0)</f>
        <v>0</v>
      </c>
      <c r="Q185" s="13">
        <f>IF(L185="MP",#REF!,0)</f>
        <v>0</v>
      </c>
      <c r="R185" s="13">
        <f>IF(L185="MP",G185-K185,0)</f>
        <v>0</v>
      </c>
      <c r="S185" s="13">
        <f>IF(L185="OM",#REF!,0)</f>
        <v>0</v>
      </c>
      <c r="T185" s="9"/>
      <c r="AD185" s="13">
        <f>SUM(U186:U187)</f>
        <v>0</v>
      </c>
      <c r="AE185" s="13">
        <f>SUM(V186:V187)</f>
        <v>0</v>
      </c>
      <c r="AF185" s="13" t="e">
        <f>SUM(W186:W187)</f>
        <v>#REF!</v>
      </c>
    </row>
    <row r="186" spans="1:38" ht="12.75">
      <c r="A186" s="121" t="s">
        <v>156</v>
      </c>
      <c r="B186" s="1" t="s">
        <v>295</v>
      </c>
      <c r="C186" s="1" t="s">
        <v>483</v>
      </c>
      <c r="D186" s="1" t="s">
        <v>540</v>
      </c>
      <c r="E186" s="6">
        <v>1.5</v>
      </c>
      <c r="F186" s="22">
        <v>0</v>
      </c>
      <c r="G186" s="18">
        <f>E186*F186</f>
        <v>0</v>
      </c>
      <c r="H186" s="6">
        <v>0</v>
      </c>
      <c r="I186" s="6">
        <f>E186*H186</f>
        <v>0</v>
      </c>
      <c r="J186" s="6"/>
      <c r="K186" s="15"/>
      <c r="L186" s="15"/>
      <c r="M186" s="15"/>
      <c r="N186" s="15"/>
      <c r="O186" s="15"/>
      <c r="P186" s="15"/>
      <c r="Q186" s="15"/>
      <c r="R186" s="15"/>
      <c r="S186" s="15"/>
      <c r="U186" s="6">
        <f>IF(Y186=0,#REF!,0)</f>
        <v>0</v>
      </c>
      <c r="V186" s="6">
        <f>IF(Y186=15,#REF!,0)</f>
        <v>0</v>
      </c>
      <c r="W186" s="6" t="e">
        <f>IF(Y186=21,#REF!,0)</f>
        <v>#REF!</v>
      </c>
      <c r="Y186" s="10">
        <v>21</v>
      </c>
      <c r="Z186" s="10">
        <f>F186*0</f>
        <v>0</v>
      </c>
      <c r="AA186" s="10">
        <f>F186*(1-0)</f>
        <v>0</v>
      </c>
      <c r="AH186" s="10">
        <f>E186*Z186</f>
        <v>0</v>
      </c>
      <c r="AI186" s="10">
        <f>E186*AA186</f>
        <v>0</v>
      </c>
      <c r="AJ186" s="11" t="s">
        <v>588</v>
      </c>
      <c r="AK186" s="11" t="s">
        <v>607</v>
      </c>
      <c r="AL186" s="9" t="s">
        <v>612</v>
      </c>
    </row>
    <row r="187" spans="1:38" ht="12.75">
      <c r="A187" s="122" t="s">
        <v>157</v>
      </c>
      <c r="B187" s="2" t="s">
        <v>296</v>
      </c>
      <c r="C187" s="119" t="s">
        <v>866</v>
      </c>
      <c r="D187" s="2" t="s">
        <v>540</v>
      </c>
      <c r="E187" s="7">
        <v>1.55</v>
      </c>
      <c r="F187" s="22">
        <v>0</v>
      </c>
      <c r="G187" s="18">
        <f>E187*F187</f>
        <v>0</v>
      </c>
      <c r="H187" s="7">
        <v>0.0035</v>
      </c>
      <c r="I187" s="7">
        <f>E187*H187</f>
        <v>0.005425</v>
      </c>
      <c r="J187" s="7"/>
      <c r="K187" s="15"/>
      <c r="L187" s="15"/>
      <c r="M187" s="15"/>
      <c r="N187" s="15"/>
      <c r="O187" s="15"/>
      <c r="P187" s="15"/>
      <c r="Q187" s="15"/>
      <c r="R187" s="15"/>
      <c r="S187" s="15"/>
      <c r="U187" s="7">
        <f>IF(Y187=0,#REF!,0)</f>
        <v>0</v>
      </c>
      <c r="V187" s="7">
        <f>IF(Y187=15,#REF!,0)</f>
        <v>0</v>
      </c>
      <c r="W187" s="7" t="e">
        <f>IF(Y187=21,#REF!,0)</f>
        <v>#REF!</v>
      </c>
      <c r="Y187" s="10">
        <v>21</v>
      </c>
      <c r="Z187" s="10">
        <f>F187*1</f>
        <v>0</v>
      </c>
      <c r="AA187" s="10">
        <f>F187*(1-1)</f>
        <v>0</v>
      </c>
      <c r="AH187" s="10">
        <f>E187*Z187</f>
        <v>0</v>
      </c>
      <c r="AI187" s="10">
        <f>E187*AA187</f>
        <v>0</v>
      </c>
      <c r="AJ187" s="11" t="s">
        <v>588</v>
      </c>
      <c r="AK187" s="11" t="s">
        <v>607</v>
      </c>
      <c r="AL187" s="9" t="s">
        <v>612</v>
      </c>
    </row>
    <row r="188" spans="1:32" ht="12.75">
      <c r="A188" s="68"/>
      <c r="B188" s="5" t="s">
        <v>297</v>
      </c>
      <c r="C188" s="480" t="s">
        <v>484</v>
      </c>
      <c r="D188" s="481"/>
      <c r="E188" s="481"/>
      <c r="F188" s="481"/>
      <c r="G188" s="19">
        <f>SUM(G189:G189)</f>
        <v>0</v>
      </c>
      <c r="H188" s="9"/>
      <c r="I188" s="13">
        <f>SUM(I189:I189)</f>
        <v>0.05812</v>
      </c>
      <c r="J188" s="15"/>
      <c r="K188" s="13">
        <f>IF(L188="PR",#REF!,SUM(J189:J189))</f>
        <v>0</v>
      </c>
      <c r="L188" s="9" t="s">
        <v>557</v>
      </c>
      <c r="M188" s="13">
        <f>IF(L188="HS",#REF!,0)</f>
        <v>0</v>
      </c>
      <c r="N188" s="13">
        <f>IF(L188="HS",G188-K188,0)</f>
        <v>0</v>
      </c>
      <c r="O188" s="13" t="e">
        <f>IF(L188="PS",#REF!,0)</f>
        <v>#REF!</v>
      </c>
      <c r="P188" s="13">
        <f>IF(L188="PS",G188-K188,0)</f>
        <v>0</v>
      </c>
      <c r="Q188" s="13">
        <f>IF(L188="MP",#REF!,0)</f>
        <v>0</v>
      </c>
      <c r="R188" s="13">
        <f>IF(L188="MP",G188-K188,0)</f>
        <v>0</v>
      </c>
      <c r="S188" s="13">
        <f>IF(L188="OM",#REF!,0)</f>
        <v>0</v>
      </c>
      <c r="T188" s="9"/>
      <c r="AD188" s="13">
        <f>SUM(U189:U189)</f>
        <v>0</v>
      </c>
      <c r="AE188" s="13">
        <f>SUM(V189:V189)</f>
        <v>0</v>
      </c>
      <c r="AF188" s="13" t="e">
        <f>SUM(W189:W189)</f>
        <v>#REF!</v>
      </c>
    </row>
    <row r="189" spans="1:38" ht="12.75">
      <c r="A189" s="121" t="s">
        <v>158</v>
      </c>
      <c r="B189" s="1" t="s">
        <v>297</v>
      </c>
      <c r="C189" s="1" t="s">
        <v>485</v>
      </c>
      <c r="D189" s="1" t="s">
        <v>544</v>
      </c>
      <c r="E189" s="6">
        <v>1</v>
      </c>
      <c r="F189" s="22">
        <v>0</v>
      </c>
      <c r="G189" s="18">
        <f>E189*F189</f>
        <v>0</v>
      </c>
      <c r="H189" s="6">
        <v>0.05812</v>
      </c>
      <c r="I189" s="6">
        <f>E189*H189</f>
        <v>0.05812</v>
      </c>
      <c r="J189" s="6"/>
      <c r="K189" s="15"/>
      <c r="L189" s="15"/>
      <c r="M189" s="15"/>
      <c r="N189" s="15"/>
      <c r="O189" s="15"/>
      <c r="P189" s="15"/>
      <c r="Q189" s="15"/>
      <c r="R189" s="15"/>
      <c r="S189" s="15"/>
      <c r="U189" s="6">
        <f>IF(Y189=0,#REF!,0)</f>
        <v>0</v>
      </c>
      <c r="V189" s="6">
        <f>IF(Y189=15,#REF!,0)</f>
        <v>0</v>
      </c>
      <c r="W189" s="6" t="e">
        <f>IF(Y189=21,#REF!,0)</f>
        <v>#REF!</v>
      </c>
      <c r="Y189" s="10">
        <v>21</v>
      </c>
      <c r="Z189" s="10">
        <f>F189*0.909885</f>
        <v>0</v>
      </c>
      <c r="AA189" s="10">
        <f>F189*(1-0.909885)</f>
        <v>0</v>
      </c>
      <c r="AH189" s="10">
        <f>E189*Z189</f>
        <v>0</v>
      </c>
      <c r="AI189" s="10">
        <f>E189*AA189</f>
        <v>0</v>
      </c>
      <c r="AJ189" s="11" t="s">
        <v>589</v>
      </c>
      <c r="AK189" s="11" t="s">
        <v>608</v>
      </c>
      <c r="AL189" s="9" t="s">
        <v>612</v>
      </c>
    </row>
    <row r="190" spans="1:32" ht="12.75">
      <c r="A190" s="68"/>
      <c r="B190" s="5" t="s">
        <v>298</v>
      </c>
      <c r="C190" s="480" t="s">
        <v>486</v>
      </c>
      <c r="D190" s="481"/>
      <c r="E190" s="481"/>
      <c r="F190" s="481"/>
      <c r="G190" s="19">
        <f>SUM(G191:G191)</f>
        <v>0</v>
      </c>
      <c r="H190" s="9"/>
      <c r="I190" s="13">
        <f>SUM(I191:I191)</f>
        <v>0.046780800000000004</v>
      </c>
      <c r="J190" s="15"/>
      <c r="K190" s="13">
        <f>IF(L190="PR",#REF!,SUM(J191:J191))</f>
        <v>0</v>
      </c>
      <c r="L190" s="9" t="s">
        <v>557</v>
      </c>
      <c r="M190" s="13">
        <f>IF(L190="HS",#REF!,0)</f>
        <v>0</v>
      </c>
      <c r="N190" s="13">
        <f>IF(L190="HS",G190-K190,0)</f>
        <v>0</v>
      </c>
      <c r="O190" s="13" t="e">
        <f>IF(L190="PS",#REF!,0)</f>
        <v>#REF!</v>
      </c>
      <c r="P190" s="13">
        <f>IF(L190="PS",G190-K190,0)</f>
        <v>0</v>
      </c>
      <c r="Q190" s="13">
        <f>IF(L190="MP",#REF!,0)</f>
        <v>0</v>
      </c>
      <c r="R190" s="13">
        <f>IF(L190="MP",G190-K190,0)</f>
        <v>0</v>
      </c>
      <c r="S190" s="13">
        <f>IF(L190="OM",#REF!,0)</f>
        <v>0</v>
      </c>
      <c r="T190" s="9"/>
      <c r="AD190" s="13">
        <f>SUM(U191:U191)</f>
        <v>0</v>
      </c>
      <c r="AE190" s="13">
        <f>SUM(V191:V191)</f>
        <v>0</v>
      </c>
      <c r="AF190" s="13" t="e">
        <f>SUM(W191:W191)</f>
        <v>#REF!</v>
      </c>
    </row>
    <row r="191" spans="1:38" ht="12.75">
      <c r="A191" s="121" t="s">
        <v>159</v>
      </c>
      <c r="B191" s="1" t="s">
        <v>299</v>
      </c>
      <c r="C191" s="1" t="s">
        <v>487</v>
      </c>
      <c r="D191" s="1" t="s">
        <v>540</v>
      </c>
      <c r="E191" s="6">
        <v>2.64</v>
      </c>
      <c r="F191" s="22">
        <v>0</v>
      </c>
      <c r="G191" s="18">
        <f>E191*F191</f>
        <v>0</v>
      </c>
      <c r="H191" s="6">
        <v>0.01772</v>
      </c>
      <c r="I191" s="6">
        <f>E191*H191</f>
        <v>0.046780800000000004</v>
      </c>
      <c r="J191" s="6"/>
      <c r="K191" s="15"/>
      <c r="L191" s="15"/>
      <c r="M191" s="15"/>
      <c r="N191" s="15"/>
      <c r="O191" s="15"/>
      <c r="P191" s="15"/>
      <c r="Q191" s="15"/>
      <c r="R191" s="15"/>
      <c r="S191" s="15"/>
      <c r="U191" s="6">
        <f>IF(Y191=0,#REF!,0)</f>
        <v>0</v>
      </c>
      <c r="V191" s="6">
        <f>IF(Y191=15,#REF!,0)</f>
        <v>0</v>
      </c>
      <c r="W191" s="6" t="e">
        <f>IF(Y191=21,#REF!,0)</f>
        <v>#REF!</v>
      </c>
      <c r="Y191" s="10">
        <v>21</v>
      </c>
      <c r="Z191" s="10">
        <f>F191*0.574026173979985</f>
        <v>0</v>
      </c>
      <c r="AA191" s="10">
        <f>F191*(1-0.574026173979985)</f>
        <v>0</v>
      </c>
      <c r="AH191" s="10">
        <f>E191*Z191</f>
        <v>0</v>
      </c>
      <c r="AI191" s="10">
        <f>E191*AA191</f>
        <v>0</v>
      </c>
      <c r="AJ191" s="11" t="s">
        <v>590</v>
      </c>
      <c r="AK191" s="11" t="s">
        <v>609</v>
      </c>
      <c r="AL191" s="9" t="s">
        <v>612</v>
      </c>
    </row>
    <row r="192" spans="1:32" ht="12.75">
      <c r="A192" s="68"/>
      <c r="B192" s="5" t="s">
        <v>300</v>
      </c>
      <c r="C192" s="480" t="s">
        <v>488</v>
      </c>
      <c r="D192" s="481"/>
      <c r="E192" s="481"/>
      <c r="F192" s="481"/>
      <c r="G192" s="19">
        <f>SUM(G193:G197)</f>
        <v>0</v>
      </c>
      <c r="H192" s="9"/>
      <c r="I192" s="13">
        <f>SUM(I193:I197)</f>
        <v>0.155</v>
      </c>
      <c r="J192" s="15"/>
      <c r="K192" s="13">
        <f>IF(L192="PR",#REF!,SUM(J193:J197))</f>
        <v>0</v>
      </c>
      <c r="L192" s="9" t="s">
        <v>557</v>
      </c>
      <c r="M192" s="13">
        <f>IF(L192="HS",#REF!,0)</f>
        <v>0</v>
      </c>
      <c r="N192" s="13">
        <f>IF(L192="HS",G192-K192,0)</f>
        <v>0</v>
      </c>
      <c r="O192" s="13" t="e">
        <f>IF(L192="PS",#REF!,0)</f>
        <v>#REF!</v>
      </c>
      <c r="P192" s="13">
        <f>IF(L192="PS",G192-K192,0)</f>
        <v>0</v>
      </c>
      <c r="Q192" s="13">
        <f>IF(L192="MP",#REF!,0)</f>
        <v>0</v>
      </c>
      <c r="R192" s="13">
        <f>IF(L192="MP",G192-K192,0)</f>
        <v>0</v>
      </c>
      <c r="S192" s="13">
        <f>IF(L192="OM",#REF!,0)</f>
        <v>0</v>
      </c>
      <c r="T192" s="9"/>
      <c r="AD192" s="13">
        <f>SUM(U193:U197)</f>
        <v>0</v>
      </c>
      <c r="AE192" s="13">
        <f>SUM(V193:V197)</f>
        <v>0</v>
      </c>
      <c r="AF192" s="13" t="e">
        <f>SUM(W193:W197)</f>
        <v>#REF!</v>
      </c>
    </row>
    <row r="193" spans="1:38" ht="12.75">
      <c r="A193" s="121" t="s">
        <v>160</v>
      </c>
      <c r="B193" s="1" t="s">
        <v>301</v>
      </c>
      <c r="C193" s="1" t="s">
        <v>489</v>
      </c>
      <c r="D193" s="1" t="s">
        <v>543</v>
      </c>
      <c r="E193" s="6">
        <v>1</v>
      </c>
      <c r="F193" s="22">
        <v>0</v>
      </c>
      <c r="G193" s="18">
        <f aca="true" t="shared" si="41" ref="G193:G206">E193*F193</f>
        <v>0</v>
      </c>
      <c r="H193" s="6">
        <v>0.006</v>
      </c>
      <c r="I193" s="6">
        <f>E193*H193</f>
        <v>0.006</v>
      </c>
      <c r="J193" s="6"/>
      <c r="K193" s="15"/>
      <c r="L193" s="15"/>
      <c r="M193" s="15"/>
      <c r="N193" s="15"/>
      <c r="O193" s="15"/>
      <c r="P193" s="15"/>
      <c r="Q193" s="15"/>
      <c r="R193" s="15"/>
      <c r="S193" s="15"/>
      <c r="U193" s="6">
        <f>IF(Y193=0,#REF!,0)</f>
        <v>0</v>
      </c>
      <c r="V193" s="6">
        <f>IF(Y193=15,#REF!,0)</f>
        <v>0</v>
      </c>
      <c r="W193" s="6" t="e">
        <f>IF(Y193=21,#REF!,0)</f>
        <v>#REF!</v>
      </c>
      <c r="Y193" s="10">
        <v>21</v>
      </c>
      <c r="Z193" s="10">
        <f>F193*0.509098</f>
        <v>0</v>
      </c>
      <c r="AA193" s="10">
        <f>F193*(1-0.509098)</f>
        <v>0</v>
      </c>
      <c r="AH193" s="10">
        <f>E193*Z193</f>
        <v>0</v>
      </c>
      <c r="AI193" s="10">
        <f>E193*AA193</f>
        <v>0</v>
      </c>
      <c r="AJ193" s="11" t="s">
        <v>591</v>
      </c>
      <c r="AK193" s="11" t="s">
        <v>609</v>
      </c>
      <c r="AL193" s="9" t="s">
        <v>612</v>
      </c>
    </row>
    <row r="194" spans="1:38" ht="12.75">
      <c r="A194" s="121" t="s">
        <v>161</v>
      </c>
      <c r="B194" s="1" t="s">
        <v>302</v>
      </c>
      <c r="C194" s="1" t="s">
        <v>490</v>
      </c>
      <c r="D194" s="1" t="s">
        <v>543</v>
      </c>
      <c r="E194" s="6">
        <v>1</v>
      </c>
      <c r="F194" s="22">
        <v>0</v>
      </c>
      <c r="G194" s="18">
        <f t="shared" si="41"/>
        <v>0</v>
      </c>
      <c r="H194" s="6">
        <v>0.006</v>
      </c>
      <c r="I194" s="6">
        <f>E194*H194</f>
        <v>0.006</v>
      </c>
      <c r="J194" s="6"/>
      <c r="K194" s="15"/>
      <c r="L194" s="15"/>
      <c r="M194" s="15"/>
      <c r="N194" s="15"/>
      <c r="O194" s="15"/>
      <c r="P194" s="15"/>
      <c r="Q194" s="15"/>
      <c r="R194" s="15"/>
      <c r="S194" s="15"/>
      <c r="U194" s="6">
        <f>IF(Y194=0,#REF!,0)</f>
        <v>0</v>
      </c>
      <c r="V194" s="6">
        <f>IF(Y194=15,#REF!,0)</f>
        <v>0</v>
      </c>
      <c r="W194" s="6" t="e">
        <f>IF(Y194=21,#REF!,0)</f>
        <v>#REF!</v>
      </c>
      <c r="Y194" s="10">
        <v>21</v>
      </c>
      <c r="Z194" s="10">
        <f>F194*0.509339</f>
        <v>0</v>
      </c>
      <c r="AA194" s="10">
        <f>F194*(1-0.509339)</f>
        <v>0</v>
      </c>
      <c r="AH194" s="10">
        <f>E194*Z194</f>
        <v>0</v>
      </c>
      <c r="AI194" s="10">
        <f>E194*AA194</f>
        <v>0</v>
      </c>
      <c r="AJ194" s="11" t="s">
        <v>591</v>
      </c>
      <c r="AK194" s="11" t="s">
        <v>609</v>
      </c>
      <c r="AL194" s="9" t="s">
        <v>612</v>
      </c>
    </row>
    <row r="195" spans="1:38" ht="12.75">
      <c r="A195" s="121" t="s">
        <v>162</v>
      </c>
      <c r="B195" s="1" t="s">
        <v>303</v>
      </c>
      <c r="C195" s="1" t="s">
        <v>491</v>
      </c>
      <c r="D195" s="1" t="s">
        <v>543</v>
      </c>
      <c r="E195" s="6">
        <v>1</v>
      </c>
      <c r="F195" s="22">
        <v>0</v>
      </c>
      <c r="G195" s="18">
        <f t="shared" si="41"/>
        <v>0</v>
      </c>
      <c r="H195" s="6">
        <v>0.055</v>
      </c>
      <c r="I195" s="6">
        <f>E195*H195</f>
        <v>0.055</v>
      </c>
      <c r="J195" s="6"/>
      <c r="K195" s="15"/>
      <c r="L195" s="15"/>
      <c r="M195" s="15"/>
      <c r="N195" s="15"/>
      <c r="O195" s="15"/>
      <c r="P195" s="15"/>
      <c r="Q195" s="15"/>
      <c r="R195" s="15"/>
      <c r="S195" s="15"/>
      <c r="U195" s="6">
        <f>IF(Y195=0,#REF!,0)</f>
        <v>0</v>
      </c>
      <c r="V195" s="6">
        <f>IF(Y195=15,#REF!,0)</f>
        <v>0</v>
      </c>
      <c r="W195" s="6" t="e">
        <f>IF(Y195=21,#REF!,0)</f>
        <v>#REF!</v>
      </c>
      <c r="Y195" s="10">
        <v>21</v>
      </c>
      <c r="Z195" s="10">
        <f>F195*0.927024583333333</f>
        <v>0</v>
      </c>
      <c r="AA195" s="10">
        <f>F195*(1-0.927024583333333)</f>
        <v>0</v>
      </c>
      <c r="AH195" s="10">
        <f>E195*Z195</f>
        <v>0</v>
      </c>
      <c r="AI195" s="10">
        <f>E195*AA195</f>
        <v>0</v>
      </c>
      <c r="AJ195" s="11" t="s">
        <v>591</v>
      </c>
      <c r="AK195" s="11" t="s">
        <v>609</v>
      </c>
      <c r="AL195" s="9" t="s">
        <v>612</v>
      </c>
    </row>
    <row r="196" spans="1:38" ht="12.75">
      <c r="A196" s="121" t="s">
        <v>163</v>
      </c>
      <c r="B196" s="1" t="s">
        <v>304</v>
      </c>
      <c r="C196" s="1" t="s">
        <v>492</v>
      </c>
      <c r="D196" s="1" t="s">
        <v>543</v>
      </c>
      <c r="E196" s="6">
        <v>1</v>
      </c>
      <c r="F196" s="22">
        <v>0</v>
      </c>
      <c r="G196" s="18">
        <f t="shared" si="41"/>
        <v>0</v>
      </c>
      <c r="H196" s="6">
        <v>0.088</v>
      </c>
      <c r="I196" s="6">
        <f>E196*H196</f>
        <v>0.088</v>
      </c>
      <c r="J196" s="6"/>
      <c r="K196" s="15"/>
      <c r="L196" s="15"/>
      <c r="M196" s="15"/>
      <c r="N196" s="15"/>
      <c r="O196" s="15"/>
      <c r="P196" s="15"/>
      <c r="Q196" s="15"/>
      <c r="R196" s="15"/>
      <c r="S196" s="15"/>
      <c r="U196" s="6">
        <f>IF(Y196=0,#REF!,0)</f>
        <v>0</v>
      </c>
      <c r="V196" s="6">
        <f>IF(Y196=15,#REF!,0)</f>
        <v>0</v>
      </c>
      <c r="W196" s="6" t="e">
        <f>IF(Y196=21,#REF!,0)</f>
        <v>#REF!</v>
      </c>
      <c r="Y196" s="10">
        <v>21</v>
      </c>
      <c r="Z196" s="10">
        <f>F196*0.933532</f>
        <v>0</v>
      </c>
      <c r="AA196" s="10">
        <f>F196*(1-0.933532)</f>
        <v>0</v>
      </c>
      <c r="AH196" s="10">
        <f>E196*Z196</f>
        <v>0</v>
      </c>
      <c r="AI196" s="10">
        <f>E196*AA196</f>
        <v>0</v>
      </c>
      <c r="AJ196" s="11" t="s">
        <v>591</v>
      </c>
      <c r="AK196" s="11" t="s">
        <v>609</v>
      </c>
      <c r="AL196" s="9" t="s">
        <v>612</v>
      </c>
    </row>
    <row r="197" spans="1:38" ht="12.75">
      <c r="A197" s="121" t="s">
        <v>164</v>
      </c>
      <c r="B197" s="1" t="s">
        <v>305</v>
      </c>
      <c r="C197" s="1" t="s">
        <v>493</v>
      </c>
      <c r="D197" s="1" t="s">
        <v>542</v>
      </c>
      <c r="E197" s="6">
        <v>0.155</v>
      </c>
      <c r="F197" s="22">
        <v>0</v>
      </c>
      <c r="G197" s="18">
        <f t="shared" si="41"/>
        <v>0</v>
      </c>
      <c r="H197" s="6">
        <v>0</v>
      </c>
      <c r="I197" s="6">
        <f>E197*H197</f>
        <v>0</v>
      </c>
      <c r="J197" s="6"/>
      <c r="K197" s="15"/>
      <c r="L197" s="15"/>
      <c r="M197" s="15"/>
      <c r="N197" s="15"/>
      <c r="O197" s="15"/>
      <c r="P197" s="15"/>
      <c r="Q197" s="15"/>
      <c r="R197" s="15"/>
      <c r="S197" s="15"/>
      <c r="U197" s="6">
        <f>IF(Y197=0,#REF!,0)</f>
        <v>0</v>
      </c>
      <c r="V197" s="6">
        <f>IF(Y197=15,#REF!,0)</f>
        <v>0</v>
      </c>
      <c r="W197" s="6" t="e">
        <f>IF(Y197=21,#REF!,0)</f>
        <v>#REF!</v>
      </c>
      <c r="Y197" s="10">
        <v>21</v>
      </c>
      <c r="Z197" s="10">
        <f>F197*0</f>
        <v>0</v>
      </c>
      <c r="AA197" s="10">
        <f>F197*(1-0)</f>
        <v>0</v>
      </c>
      <c r="AH197" s="10">
        <f>E197*Z197</f>
        <v>0</v>
      </c>
      <c r="AI197" s="10">
        <f>E197*AA197</f>
        <v>0</v>
      </c>
      <c r="AJ197" s="11" t="s">
        <v>591</v>
      </c>
      <c r="AK197" s="11" t="s">
        <v>609</v>
      </c>
      <c r="AL197" s="9" t="s">
        <v>612</v>
      </c>
    </row>
    <row r="198" spans="1:32" ht="12.75">
      <c r="A198" s="68"/>
      <c r="B198" s="5" t="s">
        <v>306</v>
      </c>
      <c r="C198" s="480" t="s">
        <v>494</v>
      </c>
      <c r="D198" s="481"/>
      <c r="E198" s="481"/>
      <c r="F198" s="481"/>
      <c r="G198" s="19">
        <f>SUM(G199:G206)</f>
        <v>0</v>
      </c>
      <c r="H198" s="9"/>
      <c r="I198" s="13">
        <f>SUM(I199:I206)</f>
        <v>0.28947</v>
      </c>
      <c r="J198" s="15"/>
      <c r="K198" s="13">
        <f>IF(L198="PR",#REF!,SUM(J199:J206))</f>
        <v>0</v>
      </c>
      <c r="L198" s="9" t="s">
        <v>557</v>
      </c>
      <c r="M198" s="13">
        <f>IF(L198="HS",#REF!,0)</f>
        <v>0</v>
      </c>
      <c r="N198" s="13">
        <f>IF(L198="HS",G198-K198,0)</f>
        <v>0</v>
      </c>
      <c r="O198" s="13" t="e">
        <f>IF(L198="PS",#REF!,0)</f>
        <v>#REF!</v>
      </c>
      <c r="P198" s="13">
        <f>IF(L198="PS",G198-K198,0)</f>
        <v>0</v>
      </c>
      <c r="Q198" s="13">
        <f>IF(L198="MP",#REF!,0)</f>
        <v>0</v>
      </c>
      <c r="R198" s="13">
        <f>IF(L198="MP",G198-K198,0)</f>
        <v>0</v>
      </c>
      <c r="S198" s="13">
        <f>IF(L198="OM",#REF!,0)</f>
        <v>0</v>
      </c>
      <c r="T198" s="9"/>
      <c r="AD198" s="13">
        <f>SUM(U199:U206)</f>
        <v>0</v>
      </c>
      <c r="AE198" s="13">
        <f>SUM(V199:V206)</f>
        <v>0</v>
      </c>
      <c r="AF198" s="13" t="e">
        <f>SUM(W199:W206)</f>
        <v>#REF!</v>
      </c>
    </row>
    <row r="199" spans="1:38" ht="12.75">
      <c r="A199" s="121" t="s">
        <v>165</v>
      </c>
      <c r="B199" s="1" t="s">
        <v>306</v>
      </c>
      <c r="C199" s="1" t="s">
        <v>495</v>
      </c>
      <c r="D199" s="1" t="s">
        <v>543</v>
      </c>
      <c r="E199" s="6">
        <v>1</v>
      </c>
      <c r="F199" s="22">
        <v>0</v>
      </c>
      <c r="G199" s="18">
        <f t="shared" si="41"/>
        <v>0</v>
      </c>
      <c r="H199" s="6">
        <v>0.025</v>
      </c>
      <c r="I199" s="6">
        <f aca="true" t="shared" si="42" ref="I199:I206">E199*H199</f>
        <v>0.025</v>
      </c>
      <c r="J199" s="6"/>
      <c r="K199" s="15"/>
      <c r="L199" s="15"/>
      <c r="M199" s="15"/>
      <c r="N199" s="15"/>
      <c r="O199" s="15"/>
      <c r="P199" s="15"/>
      <c r="Q199" s="15"/>
      <c r="R199" s="15"/>
      <c r="S199" s="15"/>
      <c r="U199" s="6">
        <f>IF(Y199=0,#REF!,0)</f>
        <v>0</v>
      </c>
      <c r="V199" s="6">
        <f>IF(Y199=15,#REF!,0)</f>
        <v>0</v>
      </c>
      <c r="W199" s="6" t="e">
        <f>IF(Y199=21,#REF!,0)</f>
        <v>#REF!</v>
      </c>
      <c r="Y199" s="10">
        <v>21</v>
      </c>
      <c r="Z199" s="10">
        <f>F199*0.75237</f>
        <v>0</v>
      </c>
      <c r="AA199" s="10">
        <f>F199*(1-0.75237)</f>
        <v>0</v>
      </c>
      <c r="AH199" s="10">
        <f aca="true" t="shared" si="43" ref="AH199:AH206">E199*Z199</f>
        <v>0</v>
      </c>
      <c r="AI199" s="10">
        <f aca="true" t="shared" si="44" ref="AI199:AI206">E199*AA199</f>
        <v>0</v>
      </c>
      <c r="AJ199" s="11" t="s">
        <v>592</v>
      </c>
      <c r="AK199" s="11" t="s">
        <v>609</v>
      </c>
      <c r="AL199" s="9" t="s">
        <v>612</v>
      </c>
    </row>
    <row r="200" spans="1:38" ht="12.75">
      <c r="A200" s="121" t="s">
        <v>166</v>
      </c>
      <c r="B200" s="1" t="s">
        <v>306</v>
      </c>
      <c r="C200" s="1" t="s">
        <v>496</v>
      </c>
      <c r="D200" s="1" t="s">
        <v>543</v>
      </c>
      <c r="E200" s="6">
        <v>1</v>
      </c>
      <c r="F200" s="22">
        <v>0</v>
      </c>
      <c r="G200" s="18">
        <f t="shared" si="41"/>
        <v>0</v>
      </c>
      <c r="H200" s="6">
        <v>0.015</v>
      </c>
      <c r="I200" s="6">
        <f t="shared" si="42"/>
        <v>0.015</v>
      </c>
      <c r="J200" s="6"/>
      <c r="K200" s="15"/>
      <c r="L200" s="15"/>
      <c r="M200" s="15"/>
      <c r="N200" s="15"/>
      <c r="O200" s="15"/>
      <c r="P200" s="15"/>
      <c r="Q200" s="15"/>
      <c r="R200" s="15"/>
      <c r="S200" s="15"/>
      <c r="U200" s="6">
        <f>IF(Y200=0,#REF!,0)</f>
        <v>0</v>
      </c>
      <c r="V200" s="6">
        <f>IF(Y200=15,#REF!,0)</f>
        <v>0</v>
      </c>
      <c r="W200" s="6" t="e">
        <f>IF(Y200=21,#REF!,0)</f>
        <v>#REF!</v>
      </c>
      <c r="Y200" s="10">
        <v>21</v>
      </c>
      <c r="Z200" s="10">
        <f>F200*0.885887272727273</f>
        <v>0</v>
      </c>
      <c r="AA200" s="10">
        <f>F200*(1-0.885887272727273)</f>
        <v>0</v>
      </c>
      <c r="AH200" s="10">
        <f t="shared" si="43"/>
        <v>0</v>
      </c>
      <c r="AI200" s="10">
        <f t="shared" si="44"/>
        <v>0</v>
      </c>
      <c r="AJ200" s="11" t="s">
        <v>592</v>
      </c>
      <c r="AK200" s="11" t="s">
        <v>609</v>
      </c>
      <c r="AL200" s="9" t="s">
        <v>612</v>
      </c>
    </row>
    <row r="201" spans="1:38" ht="12.75">
      <c r="A201" s="121" t="s">
        <v>167</v>
      </c>
      <c r="B201" s="1" t="s">
        <v>307</v>
      </c>
      <c r="C201" s="1" t="s">
        <v>497</v>
      </c>
      <c r="D201" s="1" t="s">
        <v>543</v>
      </c>
      <c r="E201" s="6">
        <v>1</v>
      </c>
      <c r="F201" s="22">
        <v>0</v>
      </c>
      <c r="G201" s="18">
        <f t="shared" si="41"/>
        <v>0</v>
      </c>
      <c r="H201" s="6">
        <v>0.06747</v>
      </c>
      <c r="I201" s="6">
        <f t="shared" si="42"/>
        <v>0.06747</v>
      </c>
      <c r="J201" s="6"/>
      <c r="K201" s="15"/>
      <c r="L201" s="15"/>
      <c r="M201" s="15"/>
      <c r="N201" s="15"/>
      <c r="O201" s="15"/>
      <c r="P201" s="15"/>
      <c r="Q201" s="15"/>
      <c r="R201" s="15"/>
      <c r="S201" s="15"/>
      <c r="U201" s="6">
        <f>IF(Y201=0,#REF!,0)</f>
        <v>0</v>
      </c>
      <c r="V201" s="6">
        <f>IF(Y201=15,#REF!,0)</f>
        <v>0</v>
      </c>
      <c r="W201" s="6" t="e">
        <f>IF(Y201=21,#REF!,0)</f>
        <v>#REF!</v>
      </c>
      <c r="Y201" s="10">
        <v>21</v>
      </c>
      <c r="Z201" s="10">
        <f>F201*0.879736102236422</f>
        <v>0</v>
      </c>
      <c r="AA201" s="10">
        <f>F201*(1-0.879736102236422)</f>
        <v>0</v>
      </c>
      <c r="AH201" s="10">
        <f t="shared" si="43"/>
        <v>0</v>
      </c>
      <c r="AI201" s="10">
        <f t="shared" si="44"/>
        <v>0</v>
      </c>
      <c r="AJ201" s="11" t="s">
        <v>592</v>
      </c>
      <c r="AK201" s="11" t="s">
        <v>609</v>
      </c>
      <c r="AL201" s="9" t="s">
        <v>612</v>
      </c>
    </row>
    <row r="202" spans="1:38" ht="12.75">
      <c r="A202" s="121" t="s">
        <v>168</v>
      </c>
      <c r="B202" s="1" t="s">
        <v>306</v>
      </c>
      <c r="C202" s="1" t="s">
        <v>498</v>
      </c>
      <c r="D202" s="1" t="s">
        <v>543</v>
      </c>
      <c r="E202" s="6">
        <v>1</v>
      </c>
      <c r="F202" s="22">
        <v>0</v>
      </c>
      <c r="G202" s="18">
        <f t="shared" si="41"/>
        <v>0</v>
      </c>
      <c r="H202" s="6">
        <v>0.025</v>
      </c>
      <c r="I202" s="6">
        <f t="shared" si="42"/>
        <v>0.025</v>
      </c>
      <c r="J202" s="6"/>
      <c r="K202" s="15"/>
      <c r="L202" s="15"/>
      <c r="M202" s="15"/>
      <c r="N202" s="15"/>
      <c r="O202" s="15"/>
      <c r="P202" s="15"/>
      <c r="Q202" s="15"/>
      <c r="R202" s="15"/>
      <c r="S202" s="15"/>
      <c r="U202" s="6">
        <f>IF(Y202=0,#REF!,0)</f>
        <v>0</v>
      </c>
      <c r="V202" s="6">
        <f>IF(Y202=15,#REF!,0)</f>
        <v>0</v>
      </c>
      <c r="W202" s="6" t="e">
        <f>IF(Y202=21,#REF!,0)</f>
        <v>#REF!</v>
      </c>
      <c r="Y202" s="10">
        <v>21</v>
      </c>
      <c r="Z202" s="10">
        <f>F202*0</f>
        <v>0</v>
      </c>
      <c r="AA202" s="10">
        <f>F202*(1-0)</f>
        <v>0</v>
      </c>
      <c r="AH202" s="10">
        <f t="shared" si="43"/>
        <v>0</v>
      </c>
      <c r="AI202" s="10">
        <f t="shared" si="44"/>
        <v>0</v>
      </c>
      <c r="AJ202" s="11" t="s">
        <v>592</v>
      </c>
      <c r="AK202" s="11" t="s">
        <v>609</v>
      </c>
      <c r="AL202" s="9" t="s">
        <v>612</v>
      </c>
    </row>
    <row r="203" spans="1:38" ht="12.75">
      <c r="A203" s="121" t="s">
        <v>169</v>
      </c>
      <c r="B203" s="1" t="s">
        <v>307</v>
      </c>
      <c r="C203" s="1" t="s">
        <v>499</v>
      </c>
      <c r="D203" s="1" t="s">
        <v>543</v>
      </c>
      <c r="E203" s="6">
        <v>1</v>
      </c>
      <c r="F203" s="22">
        <v>0</v>
      </c>
      <c r="G203" s="18">
        <f t="shared" si="41"/>
        <v>0</v>
      </c>
      <c r="H203" s="6">
        <v>0.049</v>
      </c>
      <c r="I203" s="6">
        <f t="shared" si="42"/>
        <v>0.049</v>
      </c>
      <c r="J203" s="6"/>
      <c r="K203" s="15"/>
      <c r="L203" s="15"/>
      <c r="M203" s="15"/>
      <c r="N203" s="15"/>
      <c r="O203" s="15"/>
      <c r="P203" s="15"/>
      <c r="Q203" s="15"/>
      <c r="R203" s="15"/>
      <c r="S203" s="15"/>
      <c r="U203" s="6">
        <f>IF(Y203=0,#REF!,0)</f>
        <v>0</v>
      </c>
      <c r="V203" s="6">
        <f>IF(Y203=15,#REF!,0)</f>
        <v>0</v>
      </c>
      <c r="W203" s="6" t="e">
        <f>IF(Y203=21,#REF!,0)</f>
        <v>#REF!</v>
      </c>
      <c r="Y203" s="10">
        <v>21</v>
      </c>
      <c r="Z203" s="10">
        <f>F203*0.0391095890410959</f>
        <v>0</v>
      </c>
      <c r="AA203" s="10">
        <f>F203*(1-0.0391095890410959)</f>
        <v>0</v>
      </c>
      <c r="AH203" s="10">
        <f t="shared" si="43"/>
        <v>0</v>
      </c>
      <c r="AI203" s="10">
        <f t="shared" si="44"/>
        <v>0</v>
      </c>
      <c r="AJ203" s="11" t="s">
        <v>592</v>
      </c>
      <c r="AK203" s="11" t="s">
        <v>609</v>
      </c>
      <c r="AL203" s="9" t="s">
        <v>612</v>
      </c>
    </row>
    <row r="204" spans="1:38" ht="12.75">
      <c r="A204" s="121" t="s">
        <v>170</v>
      </c>
      <c r="B204" s="1" t="s">
        <v>307</v>
      </c>
      <c r="C204" s="1" t="s">
        <v>500</v>
      </c>
      <c r="D204" s="1" t="s">
        <v>543</v>
      </c>
      <c r="E204" s="6">
        <v>1</v>
      </c>
      <c r="F204" s="22">
        <v>0</v>
      </c>
      <c r="G204" s="18">
        <f t="shared" si="41"/>
        <v>0</v>
      </c>
      <c r="H204" s="6">
        <v>0.045</v>
      </c>
      <c r="I204" s="6">
        <f t="shared" si="42"/>
        <v>0.045</v>
      </c>
      <c r="J204" s="6"/>
      <c r="K204" s="15"/>
      <c r="L204" s="15"/>
      <c r="M204" s="15"/>
      <c r="N204" s="15"/>
      <c r="O204" s="15"/>
      <c r="P204" s="15"/>
      <c r="Q204" s="15"/>
      <c r="R204" s="15"/>
      <c r="S204" s="15"/>
      <c r="U204" s="6">
        <f>IF(Y204=0,#REF!,0)</f>
        <v>0</v>
      </c>
      <c r="V204" s="6">
        <f>IF(Y204=15,#REF!,0)</f>
        <v>0</v>
      </c>
      <c r="W204" s="6" t="e">
        <f>IF(Y204=21,#REF!,0)</f>
        <v>#REF!</v>
      </c>
      <c r="Y204" s="10">
        <v>21</v>
      </c>
      <c r="Z204" s="10">
        <f>F204*0.039110294117647</f>
        <v>0</v>
      </c>
      <c r="AA204" s="10">
        <f>F204*(1-0.039110294117647)</f>
        <v>0</v>
      </c>
      <c r="AH204" s="10">
        <f t="shared" si="43"/>
        <v>0</v>
      </c>
      <c r="AI204" s="10">
        <f t="shared" si="44"/>
        <v>0</v>
      </c>
      <c r="AJ204" s="11" t="s">
        <v>592</v>
      </c>
      <c r="AK204" s="11" t="s">
        <v>609</v>
      </c>
      <c r="AL204" s="9" t="s">
        <v>612</v>
      </c>
    </row>
    <row r="205" spans="1:38" ht="12.75">
      <c r="A205" s="121" t="s">
        <v>171</v>
      </c>
      <c r="B205" s="1" t="s">
        <v>306</v>
      </c>
      <c r="C205" s="1" t="s">
        <v>501</v>
      </c>
      <c r="D205" s="1" t="s">
        <v>541</v>
      </c>
      <c r="E205" s="6">
        <v>4.2</v>
      </c>
      <c r="F205" s="22">
        <v>0</v>
      </c>
      <c r="G205" s="18">
        <f t="shared" si="41"/>
        <v>0</v>
      </c>
      <c r="H205" s="6">
        <v>0.015</v>
      </c>
      <c r="I205" s="6">
        <f t="shared" si="42"/>
        <v>0.063</v>
      </c>
      <c r="J205" s="6"/>
      <c r="K205" s="15"/>
      <c r="L205" s="15"/>
      <c r="M205" s="15"/>
      <c r="N205" s="15"/>
      <c r="O205" s="15"/>
      <c r="P205" s="15"/>
      <c r="Q205" s="15"/>
      <c r="R205" s="15"/>
      <c r="S205" s="15"/>
      <c r="U205" s="6">
        <f>IF(Y205=0,#REF!,0)</f>
        <v>0</v>
      </c>
      <c r="V205" s="6">
        <f>IF(Y205=15,#REF!,0)</f>
        <v>0</v>
      </c>
      <c r="W205" s="6" t="e">
        <f>IF(Y205=21,#REF!,0)</f>
        <v>#REF!</v>
      </c>
      <c r="Y205" s="10">
        <v>21</v>
      </c>
      <c r="Z205" s="10">
        <f>F205*0.51199</f>
        <v>0</v>
      </c>
      <c r="AA205" s="10">
        <f>F205*(1-0.51199)</f>
        <v>0</v>
      </c>
      <c r="AH205" s="10">
        <f t="shared" si="43"/>
        <v>0</v>
      </c>
      <c r="AI205" s="10">
        <f t="shared" si="44"/>
        <v>0</v>
      </c>
      <c r="AJ205" s="11" t="s">
        <v>592</v>
      </c>
      <c r="AK205" s="11" t="s">
        <v>609</v>
      </c>
      <c r="AL205" s="9" t="s">
        <v>612</v>
      </c>
    </row>
    <row r="206" spans="1:38" ht="12.75">
      <c r="A206" s="121" t="s">
        <v>172</v>
      </c>
      <c r="B206" s="1" t="s">
        <v>308</v>
      </c>
      <c r="C206" s="1" t="s">
        <v>502</v>
      </c>
      <c r="D206" s="1" t="s">
        <v>542</v>
      </c>
      <c r="E206" s="6">
        <v>0.28947</v>
      </c>
      <c r="F206" s="22">
        <v>0</v>
      </c>
      <c r="G206" s="18">
        <f t="shared" si="41"/>
        <v>0</v>
      </c>
      <c r="H206" s="6">
        <v>0</v>
      </c>
      <c r="I206" s="6">
        <f t="shared" si="42"/>
        <v>0</v>
      </c>
      <c r="J206" s="6"/>
      <c r="K206" s="15"/>
      <c r="L206" s="15"/>
      <c r="M206" s="15"/>
      <c r="N206" s="15"/>
      <c r="O206" s="15"/>
      <c r="P206" s="15"/>
      <c r="Q206" s="15"/>
      <c r="R206" s="15"/>
      <c r="S206" s="15"/>
      <c r="U206" s="6">
        <f>IF(Y206=0,#REF!,0)</f>
        <v>0</v>
      </c>
      <c r="V206" s="6">
        <f>IF(Y206=15,#REF!,0)</f>
        <v>0</v>
      </c>
      <c r="W206" s="6" t="e">
        <f>IF(Y206=21,#REF!,0)</f>
        <v>#REF!</v>
      </c>
      <c r="Y206" s="10">
        <v>21</v>
      </c>
      <c r="Z206" s="10">
        <f>F206*0</f>
        <v>0</v>
      </c>
      <c r="AA206" s="10">
        <f>F206*(1-0)</f>
        <v>0</v>
      </c>
      <c r="AH206" s="10">
        <f t="shared" si="43"/>
        <v>0</v>
      </c>
      <c r="AI206" s="10">
        <f t="shared" si="44"/>
        <v>0</v>
      </c>
      <c r="AJ206" s="11" t="s">
        <v>592</v>
      </c>
      <c r="AK206" s="11" t="s">
        <v>609</v>
      </c>
      <c r="AL206" s="9" t="s">
        <v>612</v>
      </c>
    </row>
    <row r="207" spans="1:32" ht="12.75">
      <c r="A207" s="68"/>
      <c r="B207" s="5" t="s">
        <v>309</v>
      </c>
      <c r="C207" s="480" t="s">
        <v>503</v>
      </c>
      <c r="D207" s="481"/>
      <c r="E207" s="481"/>
      <c r="F207" s="481"/>
      <c r="G207" s="19">
        <f>SUM(G208:G210)</f>
        <v>0</v>
      </c>
      <c r="H207" s="9"/>
      <c r="I207" s="13">
        <f>SUM(I208:I210)</f>
        <v>2.3423388</v>
      </c>
      <c r="J207" s="15"/>
      <c r="K207" s="13">
        <f>IF(L207="PR",#REF!,SUM(J208:J210))</f>
        <v>0</v>
      </c>
      <c r="L207" s="9" t="s">
        <v>557</v>
      </c>
      <c r="M207" s="13">
        <f>IF(L207="HS",#REF!,0)</f>
        <v>0</v>
      </c>
      <c r="N207" s="13">
        <f>IF(L207="HS",G207-K207,0)</f>
        <v>0</v>
      </c>
      <c r="O207" s="13" t="e">
        <f>IF(L207="PS",#REF!,0)</f>
        <v>#REF!</v>
      </c>
      <c r="P207" s="13">
        <f>IF(L207="PS",G207-K207,0)</f>
        <v>0</v>
      </c>
      <c r="Q207" s="13">
        <f>IF(L207="MP",#REF!,0)</f>
        <v>0</v>
      </c>
      <c r="R207" s="13">
        <f>IF(L207="MP",G207-K207,0)</f>
        <v>0</v>
      </c>
      <c r="S207" s="13">
        <f>IF(L207="OM",#REF!,0)</f>
        <v>0</v>
      </c>
      <c r="T207" s="9"/>
      <c r="AD207" s="13">
        <f>SUM(U208:U210)</f>
        <v>0</v>
      </c>
      <c r="AE207" s="13">
        <f>SUM(V208:V210)</f>
        <v>0</v>
      </c>
      <c r="AF207" s="13" t="e">
        <f>SUM(W208:W210)</f>
        <v>#REF!</v>
      </c>
    </row>
    <row r="208" spans="1:38" ht="12.75">
      <c r="A208" s="121" t="s">
        <v>173</v>
      </c>
      <c r="B208" s="1" t="s">
        <v>310</v>
      </c>
      <c r="C208" s="1" t="s">
        <v>504</v>
      </c>
      <c r="D208" s="1" t="s">
        <v>541</v>
      </c>
      <c r="E208" s="6">
        <v>16.5</v>
      </c>
      <c r="F208" s="22">
        <v>0</v>
      </c>
      <c r="G208" s="18">
        <f>E208*F208</f>
        <v>0</v>
      </c>
      <c r="H208" s="6">
        <v>0.10325</v>
      </c>
      <c r="I208" s="6">
        <f>E208*H208</f>
        <v>1.703625</v>
      </c>
      <c r="J208" s="6"/>
      <c r="K208" s="15"/>
      <c r="L208" s="15"/>
      <c r="M208" s="15"/>
      <c r="N208" s="15"/>
      <c r="O208" s="15"/>
      <c r="P208" s="15"/>
      <c r="Q208" s="15"/>
      <c r="R208" s="15"/>
      <c r="S208" s="15"/>
      <c r="U208" s="6">
        <f>IF(Y208=0,#REF!,0)</f>
        <v>0</v>
      </c>
      <c r="V208" s="6">
        <f>IF(Y208=15,#REF!,0)</f>
        <v>0</v>
      </c>
      <c r="W208" s="6" t="e">
        <f>IF(Y208=21,#REF!,0)</f>
        <v>#REF!</v>
      </c>
      <c r="Y208" s="10">
        <v>21</v>
      </c>
      <c r="Z208" s="10">
        <f>F208*0.802682259246109</f>
        <v>0</v>
      </c>
      <c r="AA208" s="10">
        <f>F208*(1-0.802682259246109)</f>
        <v>0</v>
      </c>
      <c r="AH208" s="10">
        <f>E208*Z208</f>
        <v>0</v>
      </c>
      <c r="AI208" s="10">
        <f>E208*AA208</f>
        <v>0</v>
      </c>
      <c r="AJ208" s="11" t="s">
        <v>593</v>
      </c>
      <c r="AK208" s="11" t="s">
        <v>610</v>
      </c>
      <c r="AL208" s="9" t="s">
        <v>612</v>
      </c>
    </row>
    <row r="209" spans="1:38" ht="12.75">
      <c r="A209" s="121" t="s">
        <v>174</v>
      </c>
      <c r="B209" s="1" t="s">
        <v>311</v>
      </c>
      <c r="C209" s="1" t="s">
        <v>505</v>
      </c>
      <c r="D209" s="1" t="s">
        <v>540</v>
      </c>
      <c r="E209" s="6">
        <v>3.06</v>
      </c>
      <c r="F209" s="22">
        <v>0</v>
      </c>
      <c r="G209" s="18">
        <f>E209*F209</f>
        <v>0</v>
      </c>
      <c r="H209" s="6">
        <v>0.20873</v>
      </c>
      <c r="I209" s="6">
        <f>E209*H209</f>
        <v>0.6387138</v>
      </c>
      <c r="J209" s="6"/>
      <c r="K209" s="15"/>
      <c r="L209" s="15"/>
      <c r="M209" s="15"/>
      <c r="N209" s="15"/>
      <c r="O209" s="15"/>
      <c r="P209" s="15"/>
      <c r="Q209" s="15"/>
      <c r="R209" s="15"/>
      <c r="S209" s="15"/>
      <c r="U209" s="6">
        <f>IF(Y209=0,#REF!,0)</f>
        <v>0</v>
      </c>
      <c r="V209" s="6">
        <f>IF(Y209=15,#REF!,0)</f>
        <v>0</v>
      </c>
      <c r="W209" s="6" t="e">
        <f>IF(Y209=21,#REF!,0)</f>
        <v>#REF!</v>
      </c>
      <c r="Y209" s="10">
        <v>21</v>
      </c>
      <c r="Z209" s="10">
        <f>F209*0.848445654028904</f>
        <v>0</v>
      </c>
      <c r="AA209" s="10">
        <f>F209*(1-0.848445654028904)</f>
        <v>0</v>
      </c>
      <c r="AH209" s="10">
        <f>E209*Z209</f>
        <v>0</v>
      </c>
      <c r="AI209" s="10">
        <f>E209*AA209</f>
        <v>0</v>
      </c>
      <c r="AJ209" s="11" t="s">
        <v>593</v>
      </c>
      <c r="AK209" s="11" t="s">
        <v>610</v>
      </c>
      <c r="AL209" s="9" t="s">
        <v>612</v>
      </c>
    </row>
    <row r="210" spans="1:38" ht="12.75">
      <c r="A210" s="121" t="s">
        <v>175</v>
      </c>
      <c r="B210" s="1" t="s">
        <v>312</v>
      </c>
      <c r="C210" s="1" t="s">
        <v>506</v>
      </c>
      <c r="D210" s="1" t="s">
        <v>542</v>
      </c>
      <c r="E210" s="6">
        <v>2.34234</v>
      </c>
      <c r="F210" s="22">
        <v>0</v>
      </c>
      <c r="G210" s="18">
        <f>E210*F210</f>
        <v>0</v>
      </c>
      <c r="H210" s="6">
        <v>0</v>
      </c>
      <c r="I210" s="6">
        <f>E210*H210</f>
        <v>0</v>
      </c>
      <c r="J210" s="6"/>
      <c r="K210" s="15"/>
      <c r="L210" s="15"/>
      <c r="M210" s="15"/>
      <c r="N210" s="15"/>
      <c r="O210" s="15"/>
      <c r="P210" s="15"/>
      <c r="Q210" s="15"/>
      <c r="R210" s="15"/>
      <c r="S210" s="15"/>
      <c r="U210" s="6">
        <f>IF(Y210=0,#REF!,0)</f>
        <v>0</v>
      </c>
      <c r="V210" s="6">
        <f>IF(Y210=15,#REF!,0)</f>
        <v>0</v>
      </c>
      <c r="W210" s="6" t="e">
        <f>IF(Y210=21,#REF!,0)</f>
        <v>#REF!</v>
      </c>
      <c r="Y210" s="10">
        <v>21</v>
      </c>
      <c r="Z210" s="10">
        <f>F210*0</f>
        <v>0</v>
      </c>
      <c r="AA210" s="10">
        <f>F210*(1-0)</f>
        <v>0</v>
      </c>
      <c r="AH210" s="10">
        <f>E210*Z210</f>
        <v>0</v>
      </c>
      <c r="AI210" s="10">
        <f>E210*AA210</f>
        <v>0</v>
      </c>
      <c r="AJ210" s="11" t="s">
        <v>593</v>
      </c>
      <c r="AK210" s="11" t="s">
        <v>610</v>
      </c>
      <c r="AL210" s="9" t="s">
        <v>612</v>
      </c>
    </row>
    <row r="211" spans="1:32" ht="12.75">
      <c r="A211" s="68"/>
      <c r="B211" s="5" t="s">
        <v>313</v>
      </c>
      <c r="C211" s="480" t="s">
        <v>507</v>
      </c>
      <c r="D211" s="481"/>
      <c r="E211" s="481"/>
      <c r="F211" s="481"/>
      <c r="G211" s="19">
        <f>SUM(G212:G212)</f>
        <v>0</v>
      </c>
      <c r="H211" s="9"/>
      <c r="I211" s="13">
        <f>SUM(I212:I212)</f>
        <v>0.0052073</v>
      </c>
      <c r="J211" s="15"/>
      <c r="K211" s="13">
        <f>IF(L211="PR",#REF!,SUM(J212:J212))</f>
        <v>0</v>
      </c>
      <c r="L211" s="9" t="s">
        <v>557</v>
      </c>
      <c r="M211" s="13">
        <f>IF(L211="HS",#REF!,0)</f>
        <v>0</v>
      </c>
      <c r="N211" s="13">
        <f>IF(L211="HS",G211-K211,0)</f>
        <v>0</v>
      </c>
      <c r="O211" s="13" t="e">
        <f>IF(L211="PS",#REF!,0)</f>
        <v>#REF!</v>
      </c>
      <c r="P211" s="13">
        <f>IF(L211="PS",G211-K211,0)</f>
        <v>0</v>
      </c>
      <c r="Q211" s="13">
        <f>IF(L211="MP",#REF!,0)</f>
        <v>0</v>
      </c>
      <c r="R211" s="13">
        <f>IF(L211="MP",G211-K211,0)</f>
        <v>0</v>
      </c>
      <c r="S211" s="13">
        <f>IF(L211="OM",#REF!,0)</f>
        <v>0</v>
      </c>
      <c r="T211" s="9"/>
      <c r="AD211" s="13">
        <f>SUM(U212:U212)</f>
        <v>0</v>
      </c>
      <c r="AE211" s="13">
        <f>SUM(V212:V212)</f>
        <v>0</v>
      </c>
      <c r="AF211" s="13" t="e">
        <f>SUM(W212:W212)</f>
        <v>#REF!</v>
      </c>
    </row>
    <row r="212" spans="1:38" s="252" customFormat="1" ht="12.75">
      <c r="A212" s="121" t="s">
        <v>176</v>
      </c>
      <c r="B212" s="1" t="s">
        <v>314</v>
      </c>
      <c r="C212" s="1" t="s">
        <v>959</v>
      </c>
      <c r="D212" s="1" t="s">
        <v>540</v>
      </c>
      <c r="E212" s="6">
        <v>12.11</v>
      </c>
      <c r="F212" s="22">
        <v>0</v>
      </c>
      <c r="G212" s="18">
        <f>E212*F212</f>
        <v>0</v>
      </c>
      <c r="H212" s="6">
        <v>0.00043</v>
      </c>
      <c r="I212" s="6">
        <f>E212*H212</f>
        <v>0.0052073</v>
      </c>
      <c r="J212" s="6"/>
      <c r="K212" s="251"/>
      <c r="L212" s="251"/>
      <c r="M212" s="251"/>
      <c r="N212" s="251"/>
      <c r="O212" s="251"/>
      <c r="P212" s="251"/>
      <c r="Q212" s="251"/>
      <c r="R212" s="251"/>
      <c r="S212" s="251"/>
      <c r="U212" s="6">
        <f>IF(Y212=0,#REF!,0)</f>
        <v>0</v>
      </c>
      <c r="V212" s="6">
        <f>IF(Y212=15,#REF!,0)</f>
        <v>0</v>
      </c>
      <c r="W212" s="6" t="e">
        <f>IF(Y212=21,#REF!,0)</f>
        <v>#REF!</v>
      </c>
      <c r="Y212" s="10">
        <v>21</v>
      </c>
      <c r="Z212" s="10">
        <f>F212*0.329842519685039</f>
        <v>0</v>
      </c>
      <c r="AA212" s="10">
        <f>F212*(1-0.329842519685039)</f>
        <v>0</v>
      </c>
      <c r="AH212" s="10">
        <f>E212*Z212</f>
        <v>0</v>
      </c>
      <c r="AI212" s="10">
        <f>E212*AA212</f>
        <v>0</v>
      </c>
      <c r="AJ212" s="11" t="s">
        <v>594</v>
      </c>
      <c r="AK212" s="11" t="s">
        <v>610</v>
      </c>
      <c r="AL212" s="253" t="s">
        <v>612</v>
      </c>
    </row>
    <row r="213" spans="1:32" ht="12.75">
      <c r="A213" s="68"/>
      <c r="B213" s="5" t="s">
        <v>315</v>
      </c>
      <c r="C213" s="480" t="s">
        <v>508</v>
      </c>
      <c r="D213" s="481"/>
      <c r="E213" s="481"/>
      <c r="F213" s="481"/>
      <c r="G213" s="19">
        <f>SUM(G214:G214)</f>
        <v>0</v>
      </c>
      <c r="H213" s="9"/>
      <c r="I213" s="13">
        <f>SUM(I214:I214)</f>
        <v>0</v>
      </c>
      <c r="J213" s="15"/>
      <c r="K213" s="13">
        <f>IF(L213="PR",#REF!,SUM(J214:J214))</f>
        <v>0</v>
      </c>
      <c r="L213" s="9" t="s">
        <v>558</v>
      </c>
      <c r="M213" s="13">
        <f>IF(L213="HS",#REF!,0)</f>
        <v>0</v>
      </c>
      <c r="N213" s="13">
        <f>IF(L213="HS",G213-K213,0)</f>
        <v>0</v>
      </c>
      <c r="O213" s="13">
        <f>IF(L213="PS",#REF!,0)</f>
        <v>0</v>
      </c>
      <c r="P213" s="13">
        <f>IF(L213="PS",G213-K213,0)</f>
        <v>0</v>
      </c>
      <c r="Q213" s="13" t="e">
        <f>IF(L213="MP",#REF!,0)</f>
        <v>#REF!</v>
      </c>
      <c r="R213" s="13">
        <f>IF(L213="MP",G213-K213,0)</f>
        <v>0</v>
      </c>
      <c r="S213" s="13">
        <f>IF(L213="OM",#REF!,0)</f>
        <v>0</v>
      </c>
      <c r="T213" s="9"/>
      <c r="AD213" s="13">
        <f>SUM(U214:U214)</f>
        <v>0</v>
      </c>
      <c r="AE213" s="13">
        <f>SUM(V214:V214)</f>
        <v>0</v>
      </c>
      <c r="AF213" s="13" t="e">
        <f>SUM(W214:W214)</f>
        <v>#REF!</v>
      </c>
    </row>
    <row r="214" spans="1:38" ht="12.75">
      <c r="A214" s="121" t="s">
        <v>177</v>
      </c>
      <c r="B214" s="1" t="s">
        <v>21</v>
      </c>
      <c r="C214" s="1" t="s">
        <v>987</v>
      </c>
      <c r="D214" s="1" t="s">
        <v>544</v>
      </c>
      <c r="E214" s="6">
        <v>1</v>
      </c>
      <c r="F214" s="6">
        <f>'Dílčí rozpopčet EI'!H11</f>
        <v>0</v>
      </c>
      <c r="G214" s="18">
        <f>E214*F214</f>
        <v>0</v>
      </c>
      <c r="H214" s="6">
        <v>0</v>
      </c>
      <c r="I214" s="6">
        <f>E214*H214</f>
        <v>0</v>
      </c>
      <c r="J214" s="6"/>
      <c r="K214" s="15"/>
      <c r="L214" s="15"/>
      <c r="M214" s="15"/>
      <c r="N214" s="15"/>
      <c r="O214" s="15"/>
      <c r="P214" s="15"/>
      <c r="Q214" s="15"/>
      <c r="R214" s="15"/>
      <c r="S214" s="15"/>
      <c r="U214" s="6">
        <f>IF(Y214=0,#REF!,0)</f>
        <v>0</v>
      </c>
      <c r="V214" s="6">
        <f>IF(Y214=15,#REF!,0)</f>
        <v>0</v>
      </c>
      <c r="W214" s="6" t="e">
        <f>IF(Y214=21,#REF!,0)</f>
        <v>#REF!</v>
      </c>
      <c r="Y214" s="10">
        <v>21</v>
      </c>
      <c r="Z214" s="10">
        <f>F214*0.520785175641366</f>
        <v>0</v>
      </c>
      <c r="AA214" s="10">
        <f>F214*(1-0.520785175641366)</f>
        <v>0</v>
      </c>
      <c r="AH214" s="10">
        <f>E214*Z214</f>
        <v>0</v>
      </c>
      <c r="AI214" s="10">
        <f>E214*AA214</f>
        <v>0</v>
      </c>
      <c r="AJ214" s="11" t="s">
        <v>595</v>
      </c>
      <c r="AK214" s="11" t="s">
        <v>606</v>
      </c>
      <c r="AL214" s="9" t="s">
        <v>612</v>
      </c>
    </row>
    <row r="215" spans="1:32" ht="12.75">
      <c r="A215" s="68"/>
      <c r="B215" s="5" t="s">
        <v>316</v>
      </c>
      <c r="C215" s="480" t="s">
        <v>509</v>
      </c>
      <c r="D215" s="481"/>
      <c r="E215" s="481"/>
      <c r="F215" s="481"/>
      <c r="G215" s="19">
        <f>SUM(G216:G216)</f>
        <v>0</v>
      </c>
      <c r="H215" s="9"/>
      <c r="I215" s="13">
        <f>SUM(I216:I216)</f>
        <v>0</v>
      </c>
      <c r="J215" s="15"/>
      <c r="K215" s="13">
        <f>IF(L215="PR",#REF!,SUM(J216:J216))</f>
        <v>0</v>
      </c>
      <c r="L215" s="9" t="s">
        <v>557</v>
      </c>
      <c r="M215" s="13">
        <f>IF(L215="HS",#REF!,0)</f>
        <v>0</v>
      </c>
      <c r="N215" s="13">
        <f>IF(L215="HS",G215-K215,0)</f>
        <v>0</v>
      </c>
      <c r="O215" s="13" t="e">
        <f>IF(L215="PS",#REF!,0)</f>
        <v>#REF!</v>
      </c>
      <c r="P215" s="13">
        <f>IF(L215="PS",G215-K215,0)</f>
        <v>0</v>
      </c>
      <c r="Q215" s="13">
        <f>IF(L215="MP",#REF!,0)</f>
        <v>0</v>
      </c>
      <c r="R215" s="13">
        <f>IF(L215="MP",G215-K215,0)</f>
        <v>0</v>
      </c>
      <c r="S215" s="13">
        <f>IF(L215="OM",#REF!,0)</f>
        <v>0</v>
      </c>
      <c r="T215" s="9"/>
      <c r="AD215" s="13">
        <f>SUM(U216:U216)</f>
        <v>0</v>
      </c>
      <c r="AE215" s="13">
        <f>SUM(V216:V216)</f>
        <v>0</v>
      </c>
      <c r="AF215" s="13" t="e">
        <f>SUM(W216:W216)</f>
        <v>#REF!</v>
      </c>
    </row>
    <row r="216" spans="1:38" ht="12.75">
      <c r="A216" s="121" t="s">
        <v>178</v>
      </c>
      <c r="B216" s="1" t="s">
        <v>316</v>
      </c>
      <c r="C216" s="1" t="s">
        <v>988</v>
      </c>
      <c r="D216" s="1" t="s">
        <v>544</v>
      </c>
      <c r="E216" s="6">
        <v>1</v>
      </c>
      <c r="F216" s="6">
        <f>'Dílčí rozpočet VZT'!G62</f>
        <v>0</v>
      </c>
      <c r="G216" s="18">
        <f>E216*F216</f>
        <v>0</v>
      </c>
      <c r="H216" s="6">
        <v>0</v>
      </c>
      <c r="I216" s="6">
        <f>E216*H216</f>
        <v>0</v>
      </c>
      <c r="J216" s="6"/>
      <c r="K216" s="15"/>
      <c r="L216" s="15"/>
      <c r="M216" s="15"/>
      <c r="N216" s="15"/>
      <c r="O216" s="15"/>
      <c r="P216" s="15"/>
      <c r="Q216" s="15"/>
      <c r="R216" s="15"/>
      <c r="S216" s="15"/>
      <c r="U216" s="6">
        <f>IF(Y216=0,#REF!,0)</f>
        <v>0</v>
      </c>
      <c r="V216" s="6">
        <f>IF(Y216=15,#REF!,0)</f>
        <v>0</v>
      </c>
      <c r="W216" s="6" t="e">
        <f>IF(Y216=21,#REF!,0)</f>
        <v>#REF!</v>
      </c>
      <c r="Y216" s="10">
        <v>21</v>
      </c>
      <c r="Z216" s="10">
        <f>F216*0.691467293597013</f>
        <v>0</v>
      </c>
      <c r="AA216" s="10">
        <f>F216*(1-0.691467293597013)</f>
        <v>0</v>
      </c>
      <c r="AH216" s="10">
        <f>E216*Z216</f>
        <v>0</v>
      </c>
      <c r="AI216" s="10">
        <f>E216*AA216</f>
        <v>0</v>
      </c>
      <c r="AJ216" s="11" t="s">
        <v>596</v>
      </c>
      <c r="AK216" s="11" t="s">
        <v>608</v>
      </c>
      <c r="AL216" s="9" t="s">
        <v>612</v>
      </c>
    </row>
    <row r="217" spans="1:32" ht="12.75">
      <c r="A217" s="68"/>
      <c r="B217" s="5" t="s">
        <v>317</v>
      </c>
      <c r="C217" s="484" t="s">
        <v>510</v>
      </c>
      <c r="D217" s="485"/>
      <c r="E217" s="485"/>
      <c r="F217" s="485"/>
      <c r="G217" s="19">
        <f>SUM(G218:G218)</f>
        <v>0</v>
      </c>
      <c r="H217" s="9"/>
      <c r="I217" s="13">
        <f>SUM(I218:I218)</f>
        <v>0</v>
      </c>
      <c r="J217" s="15"/>
      <c r="K217" s="13">
        <f>IF(L217="PR",#REF!,SUM(J218:J218))</f>
        <v>0</v>
      </c>
      <c r="L217" s="9" t="s">
        <v>557</v>
      </c>
      <c r="M217" s="13">
        <f>IF(L217="HS",#REF!,0)</f>
        <v>0</v>
      </c>
      <c r="N217" s="13">
        <f>IF(L217="HS",G217-K217,0)</f>
        <v>0</v>
      </c>
      <c r="O217" s="13" t="e">
        <f>IF(L217="PS",#REF!,0)</f>
        <v>#REF!</v>
      </c>
      <c r="P217" s="13">
        <f>IF(L217="PS",G217-K217,0)</f>
        <v>0</v>
      </c>
      <c r="Q217" s="13">
        <f>IF(L217="MP",#REF!,0)</f>
        <v>0</v>
      </c>
      <c r="R217" s="13">
        <f>IF(L217="MP",G217-K217,0)</f>
        <v>0</v>
      </c>
      <c r="S217" s="13">
        <f>IF(L217="OM",#REF!,0)</f>
        <v>0</v>
      </c>
      <c r="T217" s="9"/>
      <c r="AD217" s="13">
        <f>SUM(U218:U218)</f>
        <v>0</v>
      </c>
      <c r="AE217" s="13">
        <f>SUM(V218:V218)</f>
        <v>0</v>
      </c>
      <c r="AF217" s="13" t="e">
        <f>SUM(W218:W218)</f>
        <v>#REF!</v>
      </c>
    </row>
    <row r="218" spans="1:38" ht="12.75">
      <c r="A218" s="121" t="s">
        <v>179</v>
      </c>
      <c r="B218" s="1" t="s">
        <v>317</v>
      </c>
      <c r="C218" s="1" t="s">
        <v>989</v>
      </c>
      <c r="D218" s="1" t="s">
        <v>544</v>
      </c>
      <c r="E218" s="6">
        <v>1</v>
      </c>
      <c r="F218" s="6">
        <f>'Dílčí rozpočet VYT'!J15</f>
        <v>0</v>
      </c>
      <c r="G218" s="18">
        <f>E218*F218</f>
        <v>0</v>
      </c>
      <c r="H218" s="6">
        <v>0</v>
      </c>
      <c r="I218" s="6">
        <f>E218*H218</f>
        <v>0</v>
      </c>
      <c r="J218" s="6"/>
      <c r="K218" s="15"/>
      <c r="L218" s="15"/>
      <c r="M218" s="15"/>
      <c r="N218" s="15"/>
      <c r="O218" s="15"/>
      <c r="P218" s="15"/>
      <c r="Q218" s="15"/>
      <c r="R218" s="15"/>
      <c r="S218" s="15"/>
      <c r="U218" s="6">
        <f>IF(Y218=0,#REF!,0)</f>
        <v>0</v>
      </c>
      <c r="V218" s="6">
        <f>IF(Y218=15,#REF!,0)</f>
        <v>0</v>
      </c>
      <c r="W218" s="6" t="e">
        <f>IF(Y218=21,#REF!,0)</f>
        <v>#REF!</v>
      </c>
      <c r="Y218" s="10">
        <v>21</v>
      </c>
      <c r="Z218" s="10">
        <f>F218*0.70970776126945</f>
        <v>0</v>
      </c>
      <c r="AA218" s="10">
        <f>F218*(1-0.70970776126945)</f>
        <v>0</v>
      </c>
      <c r="AH218" s="10">
        <f>E218*Z218</f>
        <v>0</v>
      </c>
      <c r="AI218" s="10">
        <f>E218*AA218</f>
        <v>0</v>
      </c>
      <c r="AJ218" s="11" t="s">
        <v>597</v>
      </c>
      <c r="AK218" s="11" t="s">
        <v>611</v>
      </c>
      <c r="AL218" s="9" t="s">
        <v>612</v>
      </c>
    </row>
    <row r="219" spans="1:32" ht="12.75">
      <c r="A219" s="68"/>
      <c r="B219" s="5" t="s">
        <v>96</v>
      </c>
      <c r="C219" s="480" t="s">
        <v>511</v>
      </c>
      <c r="D219" s="481"/>
      <c r="E219" s="481"/>
      <c r="F219" s="481"/>
      <c r="G219" s="19">
        <f>SUM(G220:G241)</f>
        <v>0</v>
      </c>
      <c r="H219" s="9"/>
      <c r="I219" s="13">
        <f>SUM(I220:I241)</f>
        <v>19.202120299999994</v>
      </c>
      <c r="J219" s="15"/>
      <c r="K219" s="13">
        <f>IF(L219="PR",#REF!,SUM(J220:J238))</f>
        <v>0</v>
      </c>
      <c r="L219" s="9" t="s">
        <v>556</v>
      </c>
      <c r="M219" s="13" t="e">
        <f>IF(L219="HS",#REF!,0)</f>
        <v>#REF!</v>
      </c>
      <c r="N219" s="13">
        <f>IF(L219="HS",G219-K219,0)</f>
        <v>0</v>
      </c>
      <c r="O219" s="13">
        <f>IF(L219="PS",#REF!,0)</f>
        <v>0</v>
      </c>
      <c r="P219" s="13">
        <f>IF(L219="PS",G219-K219,0)</f>
        <v>0</v>
      </c>
      <c r="Q219" s="13">
        <f>IF(L219="MP",#REF!,0)</f>
        <v>0</v>
      </c>
      <c r="R219" s="13">
        <f>IF(L219="MP",G219-K219,0)</f>
        <v>0</v>
      </c>
      <c r="S219" s="13">
        <f>IF(L219="OM",#REF!,0)</f>
        <v>0</v>
      </c>
      <c r="T219" s="9"/>
      <c r="AD219" s="13">
        <f>SUM(U220:U238)</f>
        <v>0</v>
      </c>
      <c r="AE219" s="13">
        <f>SUM(V220:V238)</f>
        <v>0</v>
      </c>
      <c r="AF219" s="13" t="e">
        <f>SUM(W220:W238)</f>
        <v>#REF!</v>
      </c>
    </row>
    <row r="220" spans="1:38" ht="12.75">
      <c r="A220" s="121" t="s">
        <v>180</v>
      </c>
      <c r="B220" s="1" t="s">
        <v>318</v>
      </c>
      <c r="C220" s="1" t="s">
        <v>512</v>
      </c>
      <c r="D220" s="1" t="s">
        <v>540</v>
      </c>
      <c r="E220" s="6">
        <v>16.62</v>
      </c>
      <c r="F220" s="22">
        <v>0</v>
      </c>
      <c r="G220" s="18">
        <f aca="true" t="shared" si="45" ref="G220:G248">E220*F220</f>
        <v>0</v>
      </c>
      <c r="H220" s="6">
        <v>0.225</v>
      </c>
      <c r="I220" s="6">
        <f aca="true" t="shared" si="46" ref="I220:I238">E220*H220</f>
        <v>3.7395000000000005</v>
      </c>
      <c r="J220" s="6"/>
      <c r="K220" s="15"/>
      <c r="L220" s="15"/>
      <c r="M220" s="15"/>
      <c r="N220" s="15"/>
      <c r="O220" s="15"/>
      <c r="P220" s="15"/>
      <c r="Q220" s="15"/>
      <c r="R220" s="15"/>
      <c r="S220" s="15"/>
      <c r="U220" s="6">
        <f>IF(Y220=0,#REF!,0)</f>
        <v>0</v>
      </c>
      <c r="V220" s="6">
        <f>IF(Y220=15,#REF!,0)</f>
        <v>0</v>
      </c>
      <c r="W220" s="6" t="e">
        <f>IF(Y220=21,#REF!,0)</f>
        <v>#REF!</v>
      </c>
      <c r="Y220" s="10">
        <v>21</v>
      </c>
      <c r="Z220" s="10">
        <f>F220*0</f>
        <v>0</v>
      </c>
      <c r="AA220" s="10">
        <f>F220*(1-0)</f>
        <v>0</v>
      </c>
      <c r="AH220" s="10">
        <f aca="true" t="shared" si="47" ref="AH220:AH238">E220*Z220</f>
        <v>0</v>
      </c>
      <c r="AI220" s="10">
        <f aca="true" t="shared" si="48" ref="AI220:AI238">E220*AA220</f>
        <v>0</v>
      </c>
      <c r="AJ220" s="11" t="s">
        <v>598</v>
      </c>
      <c r="AK220" s="11" t="s">
        <v>606</v>
      </c>
      <c r="AL220" s="9" t="s">
        <v>612</v>
      </c>
    </row>
    <row r="221" spans="1:38" ht="12.75">
      <c r="A221" s="121" t="s">
        <v>181</v>
      </c>
      <c r="B221" s="1" t="s">
        <v>319</v>
      </c>
      <c r="C221" s="1" t="s">
        <v>513</v>
      </c>
      <c r="D221" s="1" t="s">
        <v>540</v>
      </c>
      <c r="E221" s="6">
        <v>6.32</v>
      </c>
      <c r="F221" s="22">
        <v>0</v>
      </c>
      <c r="G221" s="18">
        <f t="shared" si="45"/>
        <v>0</v>
      </c>
      <c r="H221" s="6">
        <v>0.05703</v>
      </c>
      <c r="I221" s="6">
        <f t="shared" si="46"/>
        <v>0.3604296</v>
      </c>
      <c r="J221" s="6"/>
      <c r="K221" s="15"/>
      <c r="L221" s="15"/>
      <c r="M221" s="15"/>
      <c r="N221" s="15"/>
      <c r="O221" s="15"/>
      <c r="P221" s="15"/>
      <c r="Q221" s="15"/>
      <c r="R221" s="15"/>
      <c r="S221" s="15"/>
      <c r="U221" s="6">
        <f>IF(Y221=0,#REF!,0)</f>
        <v>0</v>
      </c>
      <c r="V221" s="6">
        <f>IF(Y221=15,#REF!,0)</f>
        <v>0</v>
      </c>
      <c r="W221" s="6" t="e">
        <f>IF(Y221=21,#REF!,0)</f>
        <v>#REF!</v>
      </c>
      <c r="Y221" s="10">
        <v>21</v>
      </c>
      <c r="Z221" s="10">
        <f>F221*0.0596166957048708</f>
        <v>0</v>
      </c>
      <c r="AA221" s="10">
        <f>F221*(1-0.0596166957048708)</f>
        <v>0</v>
      </c>
      <c r="AH221" s="10">
        <f t="shared" si="47"/>
        <v>0</v>
      </c>
      <c r="AI221" s="10">
        <f t="shared" si="48"/>
        <v>0</v>
      </c>
      <c r="AJ221" s="11" t="s">
        <v>598</v>
      </c>
      <c r="AK221" s="11" t="s">
        <v>606</v>
      </c>
      <c r="AL221" s="9" t="s">
        <v>612</v>
      </c>
    </row>
    <row r="222" spans="1:38" ht="12.75">
      <c r="A222" s="121" t="s">
        <v>182</v>
      </c>
      <c r="B222" s="1" t="s">
        <v>320</v>
      </c>
      <c r="C222" s="1" t="s">
        <v>514</v>
      </c>
      <c r="D222" s="1" t="s">
        <v>539</v>
      </c>
      <c r="E222" s="6">
        <v>2.31</v>
      </c>
      <c r="F222" s="22">
        <v>0</v>
      </c>
      <c r="G222" s="18">
        <f t="shared" si="45"/>
        <v>0</v>
      </c>
      <c r="H222" s="6">
        <v>1.80139</v>
      </c>
      <c r="I222" s="6">
        <f t="shared" si="46"/>
        <v>4.1612109</v>
      </c>
      <c r="J222" s="6"/>
      <c r="K222" s="15"/>
      <c r="L222" s="15"/>
      <c r="M222" s="15"/>
      <c r="N222" s="15"/>
      <c r="O222" s="15"/>
      <c r="P222" s="15"/>
      <c r="Q222" s="15"/>
      <c r="R222" s="15"/>
      <c r="S222" s="15"/>
      <c r="U222" s="6">
        <f>IF(Y222=0,#REF!,0)</f>
        <v>0</v>
      </c>
      <c r="V222" s="6">
        <f>IF(Y222=15,#REF!,0)</f>
        <v>0</v>
      </c>
      <c r="W222" s="6" t="e">
        <f>IF(Y222=21,#REF!,0)</f>
        <v>#REF!</v>
      </c>
      <c r="Y222" s="10">
        <v>21</v>
      </c>
      <c r="Z222" s="10">
        <f>F222*0.0118988740112852</f>
        <v>0</v>
      </c>
      <c r="AA222" s="10">
        <f>F222*(1-0.0118988740112852)</f>
        <v>0</v>
      </c>
      <c r="AH222" s="10">
        <f t="shared" si="47"/>
        <v>0</v>
      </c>
      <c r="AI222" s="10">
        <f t="shared" si="48"/>
        <v>0</v>
      </c>
      <c r="AJ222" s="11" t="s">
        <v>598</v>
      </c>
      <c r="AK222" s="11" t="s">
        <v>606</v>
      </c>
      <c r="AL222" s="9" t="s">
        <v>612</v>
      </c>
    </row>
    <row r="223" spans="1:38" ht="12.75">
      <c r="A223" s="121" t="s">
        <v>183</v>
      </c>
      <c r="B223" s="1" t="s">
        <v>321</v>
      </c>
      <c r="C223" s="1" t="s">
        <v>515</v>
      </c>
      <c r="D223" s="1" t="s">
        <v>540</v>
      </c>
      <c r="E223" s="6">
        <v>8.42</v>
      </c>
      <c r="F223" s="22">
        <v>0</v>
      </c>
      <c r="G223" s="18">
        <f t="shared" si="45"/>
        <v>0</v>
      </c>
      <c r="H223" s="6">
        <v>0.055</v>
      </c>
      <c r="I223" s="6">
        <f t="shared" si="46"/>
        <v>0.4631</v>
      </c>
      <c r="J223" s="6"/>
      <c r="K223" s="15"/>
      <c r="L223" s="15"/>
      <c r="M223" s="15"/>
      <c r="N223" s="15"/>
      <c r="O223" s="15"/>
      <c r="P223" s="15"/>
      <c r="Q223" s="15"/>
      <c r="R223" s="15"/>
      <c r="S223" s="15"/>
      <c r="U223" s="6">
        <f>IF(Y223=0,#REF!,0)</f>
        <v>0</v>
      </c>
      <c r="V223" s="6">
        <f>IF(Y223=15,#REF!,0)</f>
        <v>0</v>
      </c>
      <c r="W223" s="6" t="e">
        <f>IF(Y223=21,#REF!,0)</f>
        <v>#REF!</v>
      </c>
      <c r="Y223" s="10">
        <v>21</v>
      </c>
      <c r="Z223" s="10">
        <f>F223*0</f>
        <v>0</v>
      </c>
      <c r="AA223" s="10">
        <f>F223*(1-0)</f>
        <v>0</v>
      </c>
      <c r="AH223" s="10">
        <f t="shared" si="47"/>
        <v>0</v>
      </c>
      <c r="AI223" s="10">
        <f t="shared" si="48"/>
        <v>0</v>
      </c>
      <c r="AJ223" s="11" t="s">
        <v>598</v>
      </c>
      <c r="AK223" s="11" t="s">
        <v>606</v>
      </c>
      <c r="AL223" s="9" t="s">
        <v>612</v>
      </c>
    </row>
    <row r="224" spans="1:38" ht="12.75">
      <c r="A224" s="121" t="s">
        <v>184</v>
      </c>
      <c r="B224" s="1" t="s">
        <v>322</v>
      </c>
      <c r="C224" s="1" t="s">
        <v>516</v>
      </c>
      <c r="D224" s="1" t="s">
        <v>540</v>
      </c>
      <c r="E224" s="6">
        <v>1.78</v>
      </c>
      <c r="F224" s="22">
        <v>0</v>
      </c>
      <c r="G224" s="18">
        <f t="shared" si="45"/>
        <v>0</v>
      </c>
      <c r="H224" s="6">
        <v>0.07717</v>
      </c>
      <c r="I224" s="6">
        <f t="shared" si="46"/>
        <v>0.1373626</v>
      </c>
      <c r="J224" s="6"/>
      <c r="K224" s="15"/>
      <c r="L224" s="15"/>
      <c r="M224" s="15"/>
      <c r="N224" s="15"/>
      <c r="O224" s="15"/>
      <c r="P224" s="15"/>
      <c r="Q224" s="15"/>
      <c r="R224" s="15"/>
      <c r="S224" s="15"/>
      <c r="U224" s="6">
        <f>IF(Y224=0,#REF!,0)</f>
        <v>0</v>
      </c>
      <c r="V224" s="6">
        <f>IF(Y224=15,#REF!,0)</f>
        <v>0</v>
      </c>
      <c r="W224" s="6" t="e">
        <f>IF(Y224=21,#REF!,0)</f>
        <v>#REF!</v>
      </c>
      <c r="Y224" s="10">
        <v>21</v>
      </c>
      <c r="Z224" s="10">
        <f>F224*0.108159540176318</f>
        <v>0</v>
      </c>
      <c r="AA224" s="10">
        <f>F224*(1-0.108159540176318)</f>
        <v>0</v>
      </c>
      <c r="AH224" s="10">
        <f t="shared" si="47"/>
        <v>0</v>
      </c>
      <c r="AI224" s="10">
        <f t="shared" si="48"/>
        <v>0</v>
      </c>
      <c r="AJ224" s="11" t="s">
        <v>598</v>
      </c>
      <c r="AK224" s="11" t="s">
        <v>606</v>
      </c>
      <c r="AL224" s="9" t="s">
        <v>612</v>
      </c>
    </row>
    <row r="225" spans="1:38" ht="12.75">
      <c r="A225" s="121" t="s">
        <v>185</v>
      </c>
      <c r="B225" s="1" t="s">
        <v>320</v>
      </c>
      <c r="C225" s="1" t="s">
        <v>517</v>
      </c>
      <c r="D225" s="1" t="s">
        <v>539</v>
      </c>
      <c r="E225" s="6">
        <v>0.59</v>
      </c>
      <c r="F225" s="22">
        <v>0</v>
      </c>
      <c r="G225" s="18">
        <f t="shared" si="45"/>
        <v>0</v>
      </c>
      <c r="H225" s="6">
        <v>1.80139</v>
      </c>
      <c r="I225" s="6">
        <f t="shared" si="46"/>
        <v>1.0628201</v>
      </c>
      <c r="J225" s="6"/>
      <c r="K225" s="15"/>
      <c r="L225" s="15"/>
      <c r="M225" s="15"/>
      <c r="N225" s="15"/>
      <c r="O225" s="15"/>
      <c r="P225" s="15"/>
      <c r="Q225" s="15"/>
      <c r="R225" s="15"/>
      <c r="S225" s="15"/>
      <c r="U225" s="6">
        <f>IF(Y225=0,#REF!,0)</f>
        <v>0</v>
      </c>
      <c r="V225" s="6">
        <f>IF(Y225=15,#REF!,0)</f>
        <v>0</v>
      </c>
      <c r="W225" s="6" t="e">
        <f>IF(Y225=21,#REF!,0)</f>
        <v>#REF!</v>
      </c>
      <c r="Y225" s="10">
        <v>21</v>
      </c>
      <c r="Z225" s="10">
        <f>F225*0.0118988740112852</f>
        <v>0</v>
      </c>
      <c r="AA225" s="10">
        <f>F225*(1-0.0118988740112852)</f>
        <v>0</v>
      </c>
      <c r="AH225" s="10">
        <f t="shared" si="47"/>
        <v>0</v>
      </c>
      <c r="AI225" s="10">
        <f t="shared" si="48"/>
        <v>0</v>
      </c>
      <c r="AJ225" s="11" t="s">
        <v>598</v>
      </c>
      <c r="AK225" s="11" t="s">
        <v>606</v>
      </c>
      <c r="AL225" s="9" t="s">
        <v>612</v>
      </c>
    </row>
    <row r="226" spans="1:38" ht="12.75">
      <c r="A226" s="121" t="s">
        <v>186</v>
      </c>
      <c r="B226" s="1" t="s">
        <v>321</v>
      </c>
      <c r="C226" s="1" t="s">
        <v>518</v>
      </c>
      <c r="D226" s="1" t="s">
        <v>540</v>
      </c>
      <c r="E226" s="6">
        <v>2.65</v>
      </c>
      <c r="F226" s="22">
        <v>0</v>
      </c>
      <c r="G226" s="18">
        <f t="shared" si="45"/>
        <v>0</v>
      </c>
      <c r="H226" s="6">
        <v>0.055</v>
      </c>
      <c r="I226" s="6">
        <f t="shared" si="46"/>
        <v>0.14575</v>
      </c>
      <c r="J226" s="6"/>
      <c r="K226" s="15"/>
      <c r="L226" s="15"/>
      <c r="M226" s="15"/>
      <c r="N226" s="15"/>
      <c r="O226" s="15"/>
      <c r="P226" s="15"/>
      <c r="Q226" s="15"/>
      <c r="R226" s="15"/>
      <c r="S226" s="15"/>
      <c r="U226" s="6">
        <f>IF(Y226=0,#REF!,0)</f>
        <v>0</v>
      </c>
      <c r="V226" s="6">
        <f>IF(Y226=15,#REF!,0)</f>
        <v>0</v>
      </c>
      <c r="W226" s="6" t="e">
        <f>IF(Y226=21,#REF!,0)</f>
        <v>#REF!</v>
      </c>
      <c r="Y226" s="10">
        <v>21</v>
      </c>
      <c r="Z226" s="10">
        <f>F226*0</f>
        <v>0</v>
      </c>
      <c r="AA226" s="10">
        <f>F226*(1-0)</f>
        <v>0</v>
      </c>
      <c r="AH226" s="10">
        <f t="shared" si="47"/>
        <v>0</v>
      </c>
      <c r="AI226" s="10">
        <f t="shared" si="48"/>
        <v>0</v>
      </c>
      <c r="AJ226" s="11" t="s">
        <v>598</v>
      </c>
      <c r="AK226" s="11" t="s">
        <v>606</v>
      </c>
      <c r="AL226" s="9" t="s">
        <v>612</v>
      </c>
    </row>
    <row r="227" spans="1:38" ht="12.75">
      <c r="A227" s="121" t="s">
        <v>187</v>
      </c>
      <c r="B227" s="1" t="s">
        <v>323</v>
      </c>
      <c r="C227" s="1" t="s">
        <v>519</v>
      </c>
      <c r="D227" s="1" t="s">
        <v>539</v>
      </c>
      <c r="E227" s="6">
        <v>1</v>
      </c>
      <c r="F227" s="22">
        <v>0</v>
      </c>
      <c r="G227" s="18">
        <f t="shared" si="45"/>
        <v>0</v>
      </c>
      <c r="H227" s="6">
        <v>1.80133</v>
      </c>
      <c r="I227" s="6">
        <f t="shared" si="46"/>
        <v>1.80133</v>
      </c>
      <c r="J227" s="6"/>
      <c r="K227" s="15"/>
      <c r="L227" s="15"/>
      <c r="M227" s="15"/>
      <c r="N227" s="15"/>
      <c r="O227" s="15"/>
      <c r="P227" s="15"/>
      <c r="Q227" s="15"/>
      <c r="R227" s="15"/>
      <c r="S227" s="15"/>
      <c r="U227" s="6">
        <f>IF(Y227=0,#REF!,0)</f>
        <v>0</v>
      </c>
      <c r="V227" s="6">
        <f>IF(Y227=15,#REF!,0)</f>
        <v>0</v>
      </c>
      <c r="W227" s="6" t="e">
        <f>IF(Y227=21,#REF!,0)</f>
        <v>#REF!</v>
      </c>
      <c r="Y227" s="10">
        <v>21</v>
      </c>
      <c r="Z227" s="10">
        <f>F227*0.0177578475336323</f>
        <v>0</v>
      </c>
      <c r="AA227" s="10">
        <f>F227*(1-0.0177578475336323)</f>
        <v>0</v>
      </c>
      <c r="AH227" s="10">
        <f t="shared" si="47"/>
        <v>0</v>
      </c>
      <c r="AI227" s="10">
        <f t="shared" si="48"/>
        <v>0</v>
      </c>
      <c r="AJ227" s="11" t="s">
        <v>598</v>
      </c>
      <c r="AK227" s="11" t="s">
        <v>606</v>
      </c>
      <c r="AL227" s="9" t="s">
        <v>612</v>
      </c>
    </row>
    <row r="228" spans="1:38" ht="12.75">
      <c r="A228" s="121" t="s">
        <v>188</v>
      </c>
      <c r="B228" s="1" t="s">
        <v>321</v>
      </c>
      <c r="C228" s="1" t="s">
        <v>520</v>
      </c>
      <c r="D228" s="1" t="s">
        <v>540</v>
      </c>
      <c r="E228" s="6">
        <v>3.52</v>
      </c>
      <c r="F228" s="22">
        <v>0</v>
      </c>
      <c r="G228" s="18">
        <f t="shared" si="45"/>
        <v>0</v>
      </c>
      <c r="H228" s="6">
        <v>0.055</v>
      </c>
      <c r="I228" s="6">
        <f t="shared" si="46"/>
        <v>0.1936</v>
      </c>
      <c r="J228" s="6"/>
      <c r="K228" s="15"/>
      <c r="L228" s="15"/>
      <c r="M228" s="15"/>
      <c r="N228" s="15"/>
      <c r="O228" s="15"/>
      <c r="P228" s="15"/>
      <c r="Q228" s="15"/>
      <c r="R228" s="15"/>
      <c r="S228" s="15"/>
      <c r="U228" s="6">
        <f>IF(Y228=0,#REF!,0)</f>
        <v>0</v>
      </c>
      <c r="V228" s="6">
        <f>IF(Y228=15,#REF!,0)</f>
        <v>0</v>
      </c>
      <c r="W228" s="6" t="e">
        <f>IF(Y228=21,#REF!,0)</f>
        <v>#REF!</v>
      </c>
      <c r="Y228" s="10">
        <v>21</v>
      </c>
      <c r="Z228" s="10">
        <f>F228*0</f>
        <v>0</v>
      </c>
      <c r="AA228" s="10">
        <f>F228*(1-0)</f>
        <v>0</v>
      </c>
      <c r="AH228" s="10">
        <f t="shared" si="47"/>
        <v>0</v>
      </c>
      <c r="AI228" s="10">
        <f t="shared" si="48"/>
        <v>0</v>
      </c>
      <c r="AJ228" s="11" t="s">
        <v>598</v>
      </c>
      <c r="AK228" s="11" t="s">
        <v>606</v>
      </c>
      <c r="AL228" s="9" t="s">
        <v>612</v>
      </c>
    </row>
    <row r="229" spans="1:38" ht="12.75">
      <c r="A229" s="121" t="s">
        <v>189</v>
      </c>
      <c r="B229" s="1" t="s">
        <v>324</v>
      </c>
      <c r="C229" s="1" t="s">
        <v>521</v>
      </c>
      <c r="D229" s="1" t="s">
        <v>541</v>
      </c>
      <c r="E229" s="6">
        <v>1.2</v>
      </c>
      <c r="F229" s="22">
        <v>0</v>
      </c>
      <c r="G229" s="18">
        <f t="shared" si="45"/>
        <v>0</v>
      </c>
      <c r="H229" s="6">
        <v>0.22684</v>
      </c>
      <c r="I229" s="6">
        <f t="shared" si="46"/>
        <v>0.272208</v>
      </c>
      <c r="J229" s="6"/>
      <c r="K229" s="15"/>
      <c r="L229" s="15"/>
      <c r="M229" s="15"/>
      <c r="N229" s="15"/>
      <c r="O229" s="15"/>
      <c r="P229" s="15"/>
      <c r="Q229" s="15"/>
      <c r="R229" s="15"/>
      <c r="S229" s="15"/>
      <c r="U229" s="6">
        <f>IF(Y229=0,#REF!,0)</f>
        <v>0</v>
      </c>
      <c r="V229" s="6">
        <f>IF(Y229=15,#REF!,0)</f>
        <v>0</v>
      </c>
      <c r="W229" s="6" t="e">
        <f>IF(Y229=21,#REF!,0)</f>
        <v>#REF!</v>
      </c>
      <c r="Y229" s="10">
        <v>21</v>
      </c>
      <c r="Z229" s="10">
        <f>F229*0.311298495645289</f>
        <v>0</v>
      </c>
      <c r="AA229" s="10">
        <f>F229*(1-0.311298495645289)</f>
        <v>0</v>
      </c>
      <c r="AH229" s="10">
        <f t="shared" si="47"/>
        <v>0</v>
      </c>
      <c r="AI229" s="10">
        <f t="shared" si="48"/>
        <v>0</v>
      </c>
      <c r="AJ229" s="11" t="s">
        <v>598</v>
      </c>
      <c r="AK229" s="11" t="s">
        <v>606</v>
      </c>
      <c r="AL229" s="9" t="s">
        <v>612</v>
      </c>
    </row>
    <row r="230" spans="1:38" ht="12.75">
      <c r="A230" s="121" t="s">
        <v>190</v>
      </c>
      <c r="B230" s="1" t="s">
        <v>325</v>
      </c>
      <c r="C230" s="1" t="s">
        <v>522</v>
      </c>
      <c r="D230" s="1" t="s">
        <v>540</v>
      </c>
      <c r="E230" s="6">
        <v>2.73</v>
      </c>
      <c r="F230" s="22">
        <v>0</v>
      </c>
      <c r="G230" s="18">
        <f t="shared" si="45"/>
        <v>0</v>
      </c>
      <c r="H230" s="6">
        <v>0.26167</v>
      </c>
      <c r="I230" s="6">
        <f t="shared" si="46"/>
        <v>0.7143591</v>
      </c>
      <c r="J230" s="6"/>
      <c r="K230" s="15"/>
      <c r="L230" s="15"/>
      <c r="M230" s="15"/>
      <c r="N230" s="15"/>
      <c r="O230" s="15"/>
      <c r="P230" s="15"/>
      <c r="Q230" s="15"/>
      <c r="R230" s="15"/>
      <c r="S230" s="15"/>
      <c r="U230" s="6">
        <f>IF(Y230=0,#REF!,0)</f>
        <v>0</v>
      </c>
      <c r="V230" s="6">
        <f>IF(Y230=15,#REF!,0)</f>
        <v>0</v>
      </c>
      <c r="W230" s="6" t="e">
        <f>IF(Y230=21,#REF!,0)</f>
        <v>#REF!</v>
      </c>
      <c r="Y230" s="10">
        <v>21</v>
      </c>
      <c r="Z230" s="10">
        <f>F230*0.15378640776699</f>
        <v>0</v>
      </c>
      <c r="AA230" s="10">
        <f>F230*(1-0.15378640776699)</f>
        <v>0</v>
      </c>
      <c r="AH230" s="10">
        <f t="shared" si="47"/>
        <v>0</v>
      </c>
      <c r="AI230" s="10">
        <f t="shared" si="48"/>
        <v>0</v>
      </c>
      <c r="AJ230" s="11" t="s">
        <v>598</v>
      </c>
      <c r="AK230" s="11" t="s">
        <v>606</v>
      </c>
      <c r="AL230" s="9" t="s">
        <v>612</v>
      </c>
    </row>
    <row r="231" spans="1:38" ht="12.75">
      <c r="A231" s="121" t="s">
        <v>191</v>
      </c>
      <c r="B231" s="1" t="s">
        <v>321</v>
      </c>
      <c r="C231" s="1" t="s">
        <v>523</v>
      </c>
      <c r="D231" s="1" t="s">
        <v>540</v>
      </c>
      <c r="E231" s="6">
        <v>0.89</v>
      </c>
      <c r="F231" s="22">
        <v>0</v>
      </c>
      <c r="G231" s="18">
        <f t="shared" si="45"/>
        <v>0</v>
      </c>
      <c r="H231" s="6">
        <v>0.055</v>
      </c>
      <c r="I231" s="6">
        <f t="shared" si="46"/>
        <v>0.04895</v>
      </c>
      <c r="J231" s="6"/>
      <c r="K231" s="15"/>
      <c r="L231" s="15"/>
      <c r="M231" s="15"/>
      <c r="N231" s="15"/>
      <c r="O231" s="15"/>
      <c r="P231" s="15"/>
      <c r="Q231" s="15"/>
      <c r="R231" s="15"/>
      <c r="S231" s="15"/>
      <c r="U231" s="6">
        <f>IF(Y231=0,#REF!,0)</f>
        <v>0</v>
      </c>
      <c r="V231" s="6">
        <f>IF(Y231=15,#REF!,0)</f>
        <v>0</v>
      </c>
      <c r="W231" s="6" t="e">
        <f>IF(Y231=21,#REF!,0)</f>
        <v>#REF!</v>
      </c>
      <c r="Y231" s="10">
        <v>21</v>
      </c>
      <c r="Z231" s="10">
        <f>F231*0</f>
        <v>0</v>
      </c>
      <c r="AA231" s="10">
        <f>F231*(1-0)</f>
        <v>0</v>
      </c>
      <c r="AH231" s="10">
        <f t="shared" si="47"/>
        <v>0</v>
      </c>
      <c r="AI231" s="10">
        <f t="shared" si="48"/>
        <v>0</v>
      </c>
      <c r="AJ231" s="11" t="s">
        <v>598</v>
      </c>
      <c r="AK231" s="11" t="s">
        <v>606</v>
      </c>
      <c r="AL231" s="9" t="s">
        <v>612</v>
      </c>
    </row>
    <row r="232" spans="1:38" ht="12.75">
      <c r="A232" s="121" t="s">
        <v>895</v>
      </c>
      <c r="B232" s="1" t="s">
        <v>326</v>
      </c>
      <c r="C232" s="1" t="s">
        <v>524</v>
      </c>
      <c r="D232" s="1" t="s">
        <v>539</v>
      </c>
      <c r="E232" s="6">
        <v>2.1</v>
      </c>
      <c r="F232" s="22">
        <v>0</v>
      </c>
      <c r="G232" s="18">
        <f t="shared" si="45"/>
        <v>0</v>
      </c>
      <c r="H232" s="6">
        <v>1.80182</v>
      </c>
      <c r="I232" s="6">
        <f t="shared" si="46"/>
        <v>3.7838220000000002</v>
      </c>
      <c r="J232" s="6"/>
      <c r="K232" s="15"/>
      <c r="L232" s="15"/>
      <c r="M232" s="15"/>
      <c r="N232" s="15"/>
      <c r="O232" s="15"/>
      <c r="P232" s="15"/>
      <c r="Q232" s="15"/>
      <c r="R232" s="15"/>
      <c r="S232" s="15"/>
      <c r="U232" s="6">
        <f>IF(Y232=0,#REF!,0)</f>
        <v>0</v>
      </c>
      <c r="V232" s="6">
        <f>IF(Y232=15,#REF!,0)</f>
        <v>0</v>
      </c>
      <c r="W232" s="6" t="e">
        <f>IF(Y232=21,#REF!,0)</f>
        <v>#REF!</v>
      </c>
      <c r="Y232" s="10">
        <v>21</v>
      </c>
      <c r="Z232" s="10">
        <f>F232*0.052967032967033</f>
        <v>0</v>
      </c>
      <c r="AA232" s="10">
        <f>F232*(1-0.052967032967033)</f>
        <v>0</v>
      </c>
      <c r="AH232" s="10">
        <f t="shared" si="47"/>
        <v>0</v>
      </c>
      <c r="AI232" s="10">
        <f t="shared" si="48"/>
        <v>0</v>
      </c>
      <c r="AJ232" s="11" t="s">
        <v>598</v>
      </c>
      <c r="AK232" s="11" t="s">
        <v>606</v>
      </c>
      <c r="AL232" s="9" t="s">
        <v>612</v>
      </c>
    </row>
    <row r="233" spans="1:38" ht="12.75">
      <c r="A233" s="121" t="s">
        <v>896</v>
      </c>
      <c r="B233" s="1" t="s">
        <v>321</v>
      </c>
      <c r="C233" s="1" t="s">
        <v>525</v>
      </c>
      <c r="D233" s="1" t="s">
        <v>540</v>
      </c>
      <c r="E233" s="6">
        <v>0.78</v>
      </c>
      <c r="F233" s="22">
        <v>0</v>
      </c>
      <c r="G233" s="18">
        <f t="shared" si="45"/>
        <v>0</v>
      </c>
      <c r="H233" s="6">
        <v>0.055</v>
      </c>
      <c r="I233" s="6">
        <f t="shared" si="46"/>
        <v>0.0429</v>
      </c>
      <c r="J233" s="6"/>
      <c r="K233" s="15"/>
      <c r="L233" s="15"/>
      <c r="M233" s="15"/>
      <c r="N233" s="15"/>
      <c r="O233" s="15"/>
      <c r="P233" s="15"/>
      <c r="Q233" s="15"/>
      <c r="R233" s="15"/>
      <c r="S233" s="15"/>
      <c r="U233" s="6">
        <f>IF(Y233=0,#REF!,0)</f>
        <v>0</v>
      </c>
      <c r="V233" s="6">
        <f>IF(Y233=15,#REF!,0)</f>
        <v>0</v>
      </c>
      <c r="W233" s="6" t="e">
        <f>IF(Y233=21,#REF!,0)</f>
        <v>#REF!</v>
      </c>
      <c r="Y233" s="10">
        <v>21</v>
      </c>
      <c r="Z233" s="10">
        <f>F233*0</f>
        <v>0</v>
      </c>
      <c r="AA233" s="10">
        <f>F233*(1-0)</f>
        <v>0</v>
      </c>
      <c r="AH233" s="10">
        <f t="shared" si="47"/>
        <v>0</v>
      </c>
      <c r="AI233" s="10">
        <f t="shared" si="48"/>
        <v>0</v>
      </c>
      <c r="AJ233" s="11" t="s">
        <v>598</v>
      </c>
      <c r="AK233" s="11" t="s">
        <v>606</v>
      </c>
      <c r="AL233" s="9" t="s">
        <v>612</v>
      </c>
    </row>
    <row r="234" spans="1:38" ht="12.75">
      <c r="A234" s="121" t="s">
        <v>897</v>
      </c>
      <c r="B234" s="1" t="s">
        <v>327</v>
      </c>
      <c r="C234" s="1" t="s">
        <v>526</v>
      </c>
      <c r="D234" s="1" t="s">
        <v>541</v>
      </c>
      <c r="E234" s="6">
        <v>5.18</v>
      </c>
      <c r="F234" s="22">
        <v>0</v>
      </c>
      <c r="G234" s="18">
        <f t="shared" si="45"/>
        <v>0</v>
      </c>
      <c r="H234" s="6">
        <v>0.012</v>
      </c>
      <c r="I234" s="6">
        <f t="shared" si="46"/>
        <v>0.06216</v>
      </c>
      <c r="J234" s="6"/>
      <c r="K234" s="15"/>
      <c r="L234" s="15"/>
      <c r="M234" s="15"/>
      <c r="N234" s="15"/>
      <c r="O234" s="15"/>
      <c r="P234" s="15"/>
      <c r="Q234" s="15"/>
      <c r="R234" s="15"/>
      <c r="S234" s="15"/>
      <c r="U234" s="6">
        <f>IF(Y234=0,#REF!,0)</f>
        <v>0</v>
      </c>
      <c r="V234" s="6">
        <f>IF(Y234=15,#REF!,0)</f>
        <v>0</v>
      </c>
      <c r="W234" s="6" t="e">
        <f>IF(Y234=21,#REF!,0)</f>
        <v>#REF!</v>
      </c>
      <c r="Y234" s="10">
        <v>21</v>
      </c>
      <c r="Z234" s="10">
        <f>F234*0</f>
        <v>0</v>
      </c>
      <c r="AA234" s="10">
        <f>F234*(1-0)</f>
        <v>0</v>
      </c>
      <c r="AH234" s="10">
        <f t="shared" si="47"/>
        <v>0</v>
      </c>
      <c r="AI234" s="10">
        <f t="shared" si="48"/>
        <v>0</v>
      </c>
      <c r="AJ234" s="11" t="s">
        <v>598</v>
      </c>
      <c r="AK234" s="11" t="s">
        <v>606</v>
      </c>
      <c r="AL234" s="9" t="s">
        <v>612</v>
      </c>
    </row>
    <row r="235" spans="1:38" ht="12.75">
      <c r="A235" s="121" t="s">
        <v>898</v>
      </c>
      <c r="B235" s="1" t="s">
        <v>322</v>
      </c>
      <c r="C235" s="1" t="s">
        <v>527</v>
      </c>
      <c r="D235" s="1" t="s">
        <v>540</v>
      </c>
      <c r="E235" s="6">
        <v>1.8</v>
      </c>
      <c r="F235" s="22">
        <v>0</v>
      </c>
      <c r="G235" s="18">
        <f t="shared" si="45"/>
        <v>0</v>
      </c>
      <c r="H235" s="6">
        <v>0.07717</v>
      </c>
      <c r="I235" s="6">
        <f t="shared" si="46"/>
        <v>0.138906</v>
      </c>
      <c r="J235" s="6"/>
      <c r="K235" s="15"/>
      <c r="L235" s="15"/>
      <c r="M235" s="15"/>
      <c r="N235" s="15"/>
      <c r="O235" s="15"/>
      <c r="P235" s="15"/>
      <c r="Q235" s="15"/>
      <c r="R235" s="15"/>
      <c r="S235" s="15"/>
      <c r="U235" s="6">
        <f>IF(Y235=0,#REF!,0)</f>
        <v>0</v>
      </c>
      <c r="V235" s="6">
        <f>IF(Y235=15,#REF!,0)</f>
        <v>0</v>
      </c>
      <c r="W235" s="6" t="e">
        <f>IF(Y235=21,#REF!,0)</f>
        <v>#REF!</v>
      </c>
      <c r="Y235" s="10">
        <v>21</v>
      </c>
      <c r="Z235" s="10">
        <f>F235*0.108153575834611</f>
        <v>0</v>
      </c>
      <c r="AA235" s="10">
        <f>F235*(1-0.108153575834611)</f>
        <v>0</v>
      </c>
      <c r="AH235" s="10">
        <f t="shared" si="47"/>
        <v>0</v>
      </c>
      <c r="AI235" s="10">
        <f t="shared" si="48"/>
        <v>0</v>
      </c>
      <c r="AJ235" s="11" t="s">
        <v>598</v>
      </c>
      <c r="AK235" s="11" t="s">
        <v>606</v>
      </c>
      <c r="AL235" s="9" t="s">
        <v>612</v>
      </c>
    </row>
    <row r="236" spans="1:38" ht="12.75">
      <c r="A236" s="121" t="s">
        <v>899</v>
      </c>
      <c r="B236" s="1" t="s">
        <v>322</v>
      </c>
      <c r="C236" s="1" t="s">
        <v>528</v>
      </c>
      <c r="D236" s="1" t="s">
        <v>540</v>
      </c>
      <c r="E236" s="6">
        <v>1.6</v>
      </c>
      <c r="F236" s="22">
        <v>0</v>
      </c>
      <c r="G236" s="18">
        <f t="shared" si="45"/>
        <v>0</v>
      </c>
      <c r="H236" s="6">
        <v>0.07717</v>
      </c>
      <c r="I236" s="6">
        <f t="shared" si="46"/>
        <v>0.12347200000000001</v>
      </c>
      <c r="J236" s="6"/>
      <c r="K236" s="15"/>
      <c r="L236" s="15"/>
      <c r="M236" s="15"/>
      <c r="N236" s="15"/>
      <c r="O236" s="15"/>
      <c r="P236" s="15"/>
      <c r="Q236" s="15"/>
      <c r="R236" s="15"/>
      <c r="S236" s="15"/>
      <c r="U236" s="6">
        <f>IF(Y236=0,#REF!,0)</f>
        <v>0</v>
      </c>
      <c r="V236" s="6">
        <f>IF(Y236=15,#REF!,0)</f>
        <v>0</v>
      </c>
      <c r="W236" s="6" t="e">
        <f>IF(Y236=21,#REF!,0)</f>
        <v>#REF!</v>
      </c>
      <c r="Y236" s="10">
        <v>21</v>
      </c>
      <c r="Z236" s="10">
        <f>F236*0.108153575834611</f>
        <v>0</v>
      </c>
      <c r="AA236" s="10">
        <f>F236*(1-0.108153575834611)</f>
        <v>0</v>
      </c>
      <c r="AH236" s="10">
        <f t="shared" si="47"/>
        <v>0</v>
      </c>
      <c r="AI236" s="10">
        <f t="shared" si="48"/>
        <v>0</v>
      </c>
      <c r="AJ236" s="11" t="s">
        <v>598</v>
      </c>
      <c r="AK236" s="11" t="s">
        <v>606</v>
      </c>
      <c r="AL236" s="9" t="s">
        <v>612</v>
      </c>
    </row>
    <row r="237" spans="1:38" ht="12.75">
      <c r="A237" s="121" t="s">
        <v>900</v>
      </c>
      <c r="B237" s="1" t="s">
        <v>328</v>
      </c>
      <c r="C237" s="1" t="s">
        <v>529</v>
      </c>
      <c r="D237" s="1" t="s">
        <v>541</v>
      </c>
      <c r="E237" s="6">
        <v>3</v>
      </c>
      <c r="F237" s="22">
        <v>0</v>
      </c>
      <c r="G237" s="18">
        <f t="shared" si="45"/>
        <v>0</v>
      </c>
      <c r="H237" s="6">
        <v>0.02365</v>
      </c>
      <c r="I237" s="6">
        <f t="shared" si="46"/>
        <v>0.07095</v>
      </c>
      <c r="J237" s="6"/>
      <c r="K237" s="15"/>
      <c r="L237" s="15"/>
      <c r="M237" s="15"/>
      <c r="N237" s="15"/>
      <c r="O237" s="15"/>
      <c r="P237" s="15"/>
      <c r="Q237" s="15"/>
      <c r="R237" s="15"/>
      <c r="S237" s="15"/>
      <c r="U237" s="6">
        <f>IF(Y237=0,#REF!,0)</f>
        <v>0</v>
      </c>
      <c r="V237" s="6">
        <f>IF(Y237=15,#REF!,0)</f>
        <v>0</v>
      </c>
      <c r="W237" s="6" t="e">
        <f>IF(Y237=21,#REF!,0)</f>
        <v>#REF!</v>
      </c>
      <c r="Y237" s="10">
        <v>21</v>
      </c>
      <c r="Z237" s="10">
        <f>F237*0.374822006472492</f>
        <v>0</v>
      </c>
      <c r="AA237" s="10">
        <f>F237*(1-0.374822006472492)</f>
        <v>0</v>
      </c>
      <c r="AH237" s="10">
        <f t="shared" si="47"/>
        <v>0</v>
      </c>
      <c r="AI237" s="10">
        <f t="shared" si="48"/>
        <v>0</v>
      </c>
      <c r="AJ237" s="11" t="s">
        <v>598</v>
      </c>
      <c r="AK237" s="11" t="s">
        <v>606</v>
      </c>
      <c r="AL237" s="9" t="s">
        <v>612</v>
      </c>
    </row>
    <row r="238" spans="1:38" ht="12.75">
      <c r="A238" s="121" t="s">
        <v>901</v>
      </c>
      <c r="B238" s="1" t="s">
        <v>329</v>
      </c>
      <c r="C238" s="1" t="s">
        <v>530</v>
      </c>
      <c r="D238" s="1" t="s">
        <v>543</v>
      </c>
      <c r="E238" s="6">
        <v>5</v>
      </c>
      <c r="F238" s="22">
        <v>0</v>
      </c>
      <c r="G238" s="18">
        <f t="shared" si="45"/>
        <v>0</v>
      </c>
      <c r="H238" s="6">
        <v>0.03149</v>
      </c>
      <c r="I238" s="6">
        <f t="shared" si="46"/>
        <v>0.15744999999999998</v>
      </c>
      <c r="J238" s="6"/>
      <c r="K238" s="15"/>
      <c r="L238" s="15"/>
      <c r="M238" s="15"/>
      <c r="N238" s="15"/>
      <c r="O238" s="15"/>
      <c r="P238" s="15"/>
      <c r="Q238" s="15"/>
      <c r="R238" s="15"/>
      <c r="S238" s="15"/>
      <c r="U238" s="6">
        <f>IF(Y238=0,#REF!,0)</f>
        <v>0</v>
      </c>
      <c r="V238" s="6">
        <f>IF(Y238=15,#REF!,0)</f>
        <v>0</v>
      </c>
      <c r="W238" s="6" t="e">
        <f>IF(Y238=21,#REF!,0)</f>
        <v>#REF!</v>
      </c>
      <c r="Y238" s="10">
        <v>21</v>
      </c>
      <c r="Z238" s="10">
        <f>F238*0.0624</f>
        <v>0</v>
      </c>
      <c r="AA238" s="10">
        <f>F238*(1-0.0624)</f>
        <v>0</v>
      </c>
      <c r="AH238" s="10">
        <f t="shared" si="47"/>
        <v>0</v>
      </c>
      <c r="AI238" s="10">
        <f t="shared" si="48"/>
        <v>0</v>
      </c>
      <c r="AJ238" s="11" t="s">
        <v>598</v>
      </c>
      <c r="AK238" s="11" t="s">
        <v>606</v>
      </c>
      <c r="AL238" s="9" t="s">
        <v>612</v>
      </c>
    </row>
    <row r="239" spans="1:38" ht="12.75">
      <c r="A239" s="121" t="s">
        <v>902</v>
      </c>
      <c r="B239" s="98" t="s">
        <v>905</v>
      </c>
      <c r="C239" s="98" t="s">
        <v>906</v>
      </c>
      <c r="D239" s="98" t="s">
        <v>541</v>
      </c>
      <c r="E239" s="123">
        <v>7.93</v>
      </c>
      <c r="F239" s="22">
        <v>0</v>
      </c>
      <c r="G239" s="18">
        <f t="shared" si="45"/>
        <v>0</v>
      </c>
      <c r="H239" s="123">
        <v>0.112</v>
      </c>
      <c r="I239" s="6">
        <f>E239*H239</f>
        <v>0.88816</v>
      </c>
      <c r="J239" s="6"/>
      <c r="K239" s="15"/>
      <c r="L239" s="15"/>
      <c r="M239" s="15"/>
      <c r="N239" s="15"/>
      <c r="O239" s="15"/>
      <c r="P239" s="15"/>
      <c r="Q239" s="15"/>
      <c r="R239" s="15"/>
      <c r="S239" s="15"/>
      <c r="U239" s="6"/>
      <c r="V239" s="6"/>
      <c r="W239" s="6"/>
      <c r="Y239" s="10"/>
      <c r="Z239" s="10"/>
      <c r="AA239" s="10"/>
      <c r="AH239" s="10"/>
      <c r="AI239" s="10"/>
      <c r="AJ239" s="11"/>
      <c r="AK239" s="11"/>
      <c r="AL239" s="9"/>
    </row>
    <row r="240" spans="1:38" ht="12.75">
      <c r="A240" s="121" t="s">
        <v>903</v>
      </c>
      <c r="B240" s="98" t="s">
        <v>907</v>
      </c>
      <c r="C240" s="98" t="s">
        <v>908</v>
      </c>
      <c r="D240" s="98" t="s">
        <v>541</v>
      </c>
      <c r="E240" s="123">
        <v>3.3</v>
      </c>
      <c r="F240" s="22">
        <v>0</v>
      </c>
      <c r="G240" s="18">
        <f t="shared" si="45"/>
        <v>0</v>
      </c>
      <c r="H240" s="123">
        <v>0.07</v>
      </c>
      <c r="I240" s="6">
        <f>E240*H240</f>
        <v>0.231</v>
      </c>
      <c r="J240" s="6"/>
      <c r="K240" s="15"/>
      <c r="L240" s="15"/>
      <c r="M240" s="15"/>
      <c r="N240" s="15"/>
      <c r="O240" s="15"/>
      <c r="P240" s="15"/>
      <c r="Q240" s="15"/>
      <c r="R240" s="15"/>
      <c r="S240" s="15"/>
      <c r="U240" s="6"/>
      <c r="V240" s="6"/>
      <c r="W240" s="6"/>
      <c r="Y240" s="10"/>
      <c r="Z240" s="10"/>
      <c r="AA240" s="10"/>
      <c r="AH240" s="10"/>
      <c r="AI240" s="10"/>
      <c r="AJ240" s="11"/>
      <c r="AK240" s="11"/>
      <c r="AL240" s="9"/>
    </row>
    <row r="241" spans="1:38" ht="12.75">
      <c r="A241" s="121" t="s">
        <v>904</v>
      </c>
      <c r="B241" s="98" t="s">
        <v>909</v>
      </c>
      <c r="C241" s="98" t="s">
        <v>910</v>
      </c>
      <c r="D241" s="98" t="s">
        <v>541</v>
      </c>
      <c r="E241" s="123">
        <v>7.93</v>
      </c>
      <c r="F241" s="22">
        <v>0</v>
      </c>
      <c r="G241" s="18">
        <f t="shared" si="45"/>
        <v>0</v>
      </c>
      <c r="H241" s="123">
        <v>0.076</v>
      </c>
      <c r="I241" s="6">
        <f>E241*H241</f>
        <v>0.60268</v>
      </c>
      <c r="J241" s="6"/>
      <c r="K241" s="15"/>
      <c r="L241" s="15"/>
      <c r="M241" s="15"/>
      <c r="N241" s="15"/>
      <c r="O241" s="15"/>
      <c r="P241" s="15"/>
      <c r="Q241" s="15"/>
      <c r="R241" s="15"/>
      <c r="S241" s="15"/>
      <c r="U241" s="6"/>
      <c r="V241" s="6"/>
      <c r="W241" s="6"/>
      <c r="Y241" s="10"/>
      <c r="Z241" s="10"/>
      <c r="AA241" s="10"/>
      <c r="AH241" s="10"/>
      <c r="AI241" s="10"/>
      <c r="AJ241" s="11"/>
      <c r="AK241" s="11"/>
      <c r="AL241" s="9"/>
    </row>
    <row r="242" spans="1:32" ht="12.75">
      <c r="A242" s="68"/>
      <c r="B242" s="5" t="s">
        <v>330</v>
      </c>
      <c r="C242" s="480" t="s">
        <v>531</v>
      </c>
      <c r="D242" s="481"/>
      <c r="E242" s="481"/>
      <c r="F242" s="481"/>
      <c r="G242" s="19">
        <f>SUM(G243:G248)</f>
        <v>0</v>
      </c>
      <c r="H242" s="9"/>
      <c r="I242" s="13">
        <f>SUM(I243:I248)</f>
        <v>0</v>
      </c>
      <c r="J242" s="15"/>
      <c r="K242" s="13">
        <f>IF(L242="PR",#REF!,SUM(J243:J248))</f>
        <v>0</v>
      </c>
      <c r="L242" s="9" t="s">
        <v>556</v>
      </c>
      <c r="M242" s="13" t="e">
        <f>IF(L242="HS",#REF!,0)</f>
        <v>#REF!</v>
      </c>
      <c r="N242" s="13">
        <f>IF(L242="HS",G242-K242,0)</f>
        <v>0</v>
      </c>
      <c r="O242" s="13">
        <f>IF(L242="PS",#REF!,0)</f>
        <v>0</v>
      </c>
      <c r="P242" s="13">
        <f>IF(L242="PS",G242-K242,0)</f>
        <v>0</v>
      </c>
      <c r="Q242" s="13">
        <f>IF(L242="MP",#REF!,0)</f>
        <v>0</v>
      </c>
      <c r="R242" s="13">
        <f>IF(L242="MP",G242-K242,0)</f>
        <v>0</v>
      </c>
      <c r="S242" s="13">
        <f>IF(L242="OM",#REF!,0)</f>
        <v>0</v>
      </c>
      <c r="T242" s="9"/>
      <c r="AD242" s="13">
        <f>SUM(U243:U248)</f>
        <v>0</v>
      </c>
      <c r="AE242" s="13">
        <f>SUM(V243:V248)</f>
        <v>0</v>
      </c>
      <c r="AF242" s="13" t="e">
        <f>SUM(W243:W248)</f>
        <v>#REF!</v>
      </c>
    </row>
    <row r="243" spans="1:38" ht="12.75">
      <c r="A243" s="121" t="s">
        <v>911</v>
      </c>
      <c r="B243" s="1" t="s">
        <v>331</v>
      </c>
      <c r="C243" s="1" t="s">
        <v>532</v>
      </c>
      <c r="D243" s="1" t="s">
        <v>542</v>
      </c>
      <c r="E243" s="6">
        <v>17.4803</v>
      </c>
      <c r="F243" s="22">
        <v>0</v>
      </c>
      <c r="G243" s="18">
        <f t="shared" si="45"/>
        <v>0</v>
      </c>
      <c r="H243" s="6">
        <v>0</v>
      </c>
      <c r="I243" s="6">
        <f aca="true" t="shared" si="49" ref="I243:I248">E243*H243</f>
        <v>0</v>
      </c>
      <c r="J243" s="6"/>
      <c r="K243" s="15"/>
      <c r="L243" s="15"/>
      <c r="M243" s="15"/>
      <c r="N243" s="15"/>
      <c r="O243" s="15"/>
      <c r="P243" s="15"/>
      <c r="Q243" s="15"/>
      <c r="R243" s="15"/>
      <c r="S243" s="15"/>
      <c r="U243" s="6">
        <f>IF(Y243=0,#REF!,0)</f>
        <v>0</v>
      </c>
      <c r="V243" s="6">
        <f>IF(Y243=15,#REF!,0)</f>
        <v>0</v>
      </c>
      <c r="W243" s="6" t="e">
        <f>IF(Y243=21,#REF!,0)</f>
        <v>#REF!</v>
      </c>
      <c r="Y243" s="10">
        <v>21</v>
      </c>
      <c r="Z243" s="10">
        <f>F243*0</f>
        <v>0</v>
      </c>
      <c r="AA243" s="10">
        <f>F243*(1-0)</f>
        <v>0</v>
      </c>
      <c r="AH243" s="10">
        <f aca="true" t="shared" si="50" ref="AH243:AH248">E243*Z243</f>
        <v>0</v>
      </c>
      <c r="AI243" s="10">
        <f aca="true" t="shared" si="51" ref="AI243:AI248">E243*AA243</f>
        <v>0</v>
      </c>
      <c r="AJ243" s="11" t="s">
        <v>599</v>
      </c>
      <c r="AK243" s="11" t="s">
        <v>606</v>
      </c>
      <c r="AL243" s="9" t="s">
        <v>612</v>
      </c>
    </row>
    <row r="244" spans="1:38" ht="12.75">
      <c r="A244" s="121" t="s">
        <v>912</v>
      </c>
      <c r="B244" s="1" t="s">
        <v>332</v>
      </c>
      <c r="C244" s="1" t="s">
        <v>533</v>
      </c>
      <c r="D244" s="1" t="s">
        <v>542</v>
      </c>
      <c r="E244" s="6">
        <v>17.4803</v>
      </c>
      <c r="F244" s="22">
        <v>0</v>
      </c>
      <c r="G244" s="18">
        <f t="shared" si="45"/>
        <v>0</v>
      </c>
      <c r="H244" s="6">
        <v>0</v>
      </c>
      <c r="I244" s="6">
        <f t="shared" si="49"/>
        <v>0</v>
      </c>
      <c r="J244" s="6"/>
      <c r="K244" s="15"/>
      <c r="L244" s="15"/>
      <c r="M244" s="15"/>
      <c r="N244" s="15"/>
      <c r="O244" s="15"/>
      <c r="P244" s="15"/>
      <c r="Q244" s="15"/>
      <c r="R244" s="15"/>
      <c r="S244" s="15"/>
      <c r="U244" s="6">
        <f>IF(Y244=0,#REF!,0)</f>
        <v>0</v>
      </c>
      <c r="V244" s="6">
        <f>IF(Y244=15,#REF!,0)</f>
        <v>0</v>
      </c>
      <c r="W244" s="6" t="e">
        <f>IF(Y244=21,#REF!,0)</f>
        <v>#REF!</v>
      </c>
      <c r="Y244" s="10">
        <v>21</v>
      </c>
      <c r="Z244" s="10">
        <f>F244*0</f>
        <v>0</v>
      </c>
      <c r="AA244" s="10">
        <f>F244*(1-0)</f>
        <v>0</v>
      </c>
      <c r="AH244" s="10">
        <f t="shared" si="50"/>
        <v>0</v>
      </c>
      <c r="AI244" s="10">
        <f t="shared" si="51"/>
        <v>0</v>
      </c>
      <c r="AJ244" s="11" t="s">
        <v>599</v>
      </c>
      <c r="AK244" s="11" t="s">
        <v>606</v>
      </c>
      <c r="AL244" s="9" t="s">
        <v>612</v>
      </c>
    </row>
    <row r="245" spans="1:38" ht="12.75">
      <c r="A245" s="121" t="s">
        <v>913</v>
      </c>
      <c r="B245" s="1" t="s">
        <v>333</v>
      </c>
      <c r="C245" s="1" t="s">
        <v>534</v>
      </c>
      <c r="D245" s="1" t="s">
        <v>542</v>
      </c>
      <c r="E245" s="6">
        <v>17.4803</v>
      </c>
      <c r="F245" s="22">
        <v>0</v>
      </c>
      <c r="G245" s="18">
        <f t="shared" si="45"/>
        <v>0</v>
      </c>
      <c r="H245" s="6">
        <v>0</v>
      </c>
      <c r="I245" s="6">
        <f t="shared" si="49"/>
        <v>0</v>
      </c>
      <c r="J245" s="6"/>
      <c r="K245" s="15"/>
      <c r="L245" s="15"/>
      <c r="M245" s="15"/>
      <c r="N245" s="15"/>
      <c r="O245" s="15"/>
      <c r="P245" s="15"/>
      <c r="Q245" s="15"/>
      <c r="R245" s="15"/>
      <c r="S245" s="15"/>
      <c r="U245" s="6">
        <f>IF(Y245=0,#REF!,0)</f>
        <v>0</v>
      </c>
      <c r="V245" s="6">
        <f>IF(Y245=15,#REF!,0)</f>
        <v>0</v>
      </c>
      <c r="W245" s="6" t="e">
        <f>IF(Y245=21,#REF!,0)</f>
        <v>#REF!</v>
      </c>
      <c r="Y245" s="10">
        <v>21</v>
      </c>
      <c r="Z245" s="10">
        <f>F245*0</f>
        <v>0</v>
      </c>
      <c r="AA245" s="10">
        <f>F245*(1-0)</f>
        <v>0</v>
      </c>
      <c r="AH245" s="10">
        <f t="shared" si="50"/>
        <v>0</v>
      </c>
      <c r="AI245" s="10">
        <f t="shared" si="51"/>
        <v>0</v>
      </c>
      <c r="AJ245" s="11" t="s">
        <v>599</v>
      </c>
      <c r="AK245" s="11" t="s">
        <v>606</v>
      </c>
      <c r="AL245" s="9" t="s">
        <v>612</v>
      </c>
    </row>
    <row r="246" spans="1:38" ht="12.75">
      <c r="A246" s="121" t="s">
        <v>914</v>
      </c>
      <c r="B246" s="1" t="s">
        <v>334</v>
      </c>
      <c r="C246" s="1" t="s">
        <v>535</v>
      </c>
      <c r="D246" s="1" t="s">
        <v>542</v>
      </c>
      <c r="E246" s="6">
        <v>17.4803</v>
      </c>
      <c r="F246" s="22">
        <v>0</v>
      </c>
      <c r="G246" s="18">
        <f t="shared" si="45"/>
        <v>0</v>
      </c>
      <c r="H246" s="6">
        <v>0</v>
      </c>
      <c r="I246" s="6">
        <f t="shared" si="49"/>
        <v>0</v>
      </c>
      <c r="J246" s="6"/>
      <c r="K246" s="15"/>
      <c r="L246" s="15"/>
      <c r="M246" s="15"/>
      <c r="N246" s="15"/>
      <c r="O246" s="15"/>
      <c r="P246" s="15"/>
      <c r="Q246" s="15"/>
      <c r="R246" s="15"/>
      <c r="S246" s="15"/>
      <c r="U246" s="6">
        <f>IF(Y246=0,#REF!,0)</f>
        <v>0</v>
      </c>
      <c r="V246" s="6">
        <f>IF(Y246=15,#REF!,0)</f>
        <v>0</v>
      </c>
      <c r="W246" s="6" t="e">
        <f>IF(Y246=21,#REF!,0)</f>
        <v>#REF!</v>
      </c>
      <c r="Y246" s="10">
        <v>21</v>
      </c>
      <c r="Z246" s="10">
        <f>F246*0</f>
        <v>0</v>
      </c>
      <c r="AA246" s="10">
        <f>F246*(1-0)</f>
        <v>0</v>
      </c>
      <c r="AH246" s="10">
        <f t="shared" si="50"/>
        <v>0</v>
      </c>
      <c r="AI246" s="10">
        <f t="shared" si="51"/>
        <v>0</v>
      </c>
      <c r="AJ246" s="11" t="s">
        <v>599</v>
      </c>
      <c r="AK246" s="11" t="s">
        <v>606</v>
      </c>
      <c r="AL246" s="9" t="s">
        <v>612</v>
      </c>
    </row>
    <row r="247" spans="1:38" ht="12.75">
      <c r="A247" s="121" t="s">
        <v>915</v>
      </c>
      <c r="B247" s="1" t="s">
        <v>335</v>
      </c>
      <c r="C247" s="1" t="s">
        <v>536</v>
      </c>
      <c r="D247" s="1" t="s">
        <v>542</v>
      </c>
      <c r="E247" s="6">
        <v>17.4803</v>
      </c>
      <c r="F247" s="22">
        <v>0</v>
      </c>
      <c r="G247" s="18">
        <f t="shared" si="45"/>
        <v>0</v>
      </c>
      <c r="H247" s="6">
        <v>0</v>
      </c>
      <c r="I247" s="6">
        <f t="shared" si="49"/>
        <v>0</v>
      </c>
      <c r="J247" s="6"/>
      <c r="K247" s="15"/>
      <c r="L247" s="15"/>
      <c r="M247" s="15"/>
      <c r="N247" s="15"/>
      <c r="O247" s="15"/>
      <c r="P247" s="15"/>
      <c r="Q247" s="15"/>
      <c r="R247" s="15"/>
      <c r="S247" s="15"/>
      <c r="U247" s="6">
        <f>IF(Y247=0,#REF!,0)</f>
        <v>0</v>
      </c>
      <c r="V247" s="6">
        <f>IF(Y247=15,#REF!,0)</f>
        <v>0</v>
      </c>
      <c r="W247" s="6" t="e">
        <f>IF(Y247=21,#REF!,0)</f>
        <v>#REF!</v>
      </c>
      <c r="Y247" s="10">
        <v>21</v>
      </c>
      <c r="Z247" s="10">
        <f>F247*0.00996621621621622</f>
        <v>0</v>
      </c>
      <c r="AA247" s="10">
        <f>F247*(1-0.00996621621621622)</f>
        <v>0</v>
      </c>
      <c r="AH247" s="10">
        <f t="shared" si="50"/>
        <v>0</v>
      </c>
      <c r="AI247" s="10">
        <f t="shared" si="51"/>
        <v>0</v>
      </c>
      <c r="AJ247" s="11" t="s">
        <v>599</v>
      </c>
      <c r="AK247" s="11" t="s">
        <v>606</v>
      </c>
      <c r="AL247" s="9" t="s">
        <v>612</v>
      </c>
    </row>
    <row r="248" spans="1:38" ht="13.5" thickBot="1">
      <c r="A248" s="121" t="s">
        <v>916</v>
      </c>
      <c r="B248" s="69" t="s">
        <v>336</v>
      </c>
      <c r="C248" s="69" t="s">
        <v>537</v>
      </c>
      <c r="D248" s="69" t="s">
        <v>542</v>
      </c>
      <c r="E248" s="70">
        <v>17.4803</v>
      </c>
      <c r="F248" s="22">
        <v>0</v>
      </c>
      <c r="G248" s="18">
        <f t="shared" si="45"/>
        <v>0</v>
      </c>
      <c r="H248" s="70">
        <v>0</v>
      </c>
      <c r="I248" s="70">
        <f t="shared" si="49"/>
        <v>0</v>
      </c>
      <c r="J248" s="6"/>
      <c r="K248" s="15"/>
      <c r="L248" s="15"/>
      <c r="M248" s="15"/>
      <c r="N248" s="15"/>
      <c r="O248" s="15"/>
      <c r="P248" s="15"/>
      <c r="Q248" s="15"/>
      <c r="R248" s="15"/>
      <c r="S248" s="15"/>
      <c r="U248" s="6">
        <f>IF(Y248=0,#REF!,0)</f>
        <v>0</v>
      </c>
      <c r="V248" s="6">
        <f>IF(Y248=15,#REF!,0)</f>
        <v>0</v>
      </c>
      <c r="W248" s="6" t="e">
        <f>IF(Y248=21,#REF!,0)</f>
        <v>#REF!</v>
      </c>
      <c r="Y248" s="10">
        <v>21</v>
      </c>
      <c r="Z248" s="10">
        <f>F248*0</f>
        <v>0</v>
      </c>
      <c r="AA248" s="10">
        <f>F248*(1-0)</f>
        <v>0</v>
      </c>
      <c r="AH248" s="10">
        <f t="shared" si="50"/>
        <v>0</v>
      </c>
      <c r="AI248" s="10">
        <f t="shared" si="51"/>
        <v>0</v>
      </c>
      <c r="AJ248" s="11" t="s">
        <v>599</v>
      </c>
      <c r="AK248" s="11" t="s">
        <v>606</v>
      </c>
      <c r="AL248" s="9" t="s">
        <v>612</v>
      </c>
    </row>
    <row r="249" spans="1:23" ht="13.5" thickBot="1">
      <c r="A249" s="73"/>
      <c r="B249" s="74"/>
      <c r="C249" s="74"/>
      <c r="D249" s="74"/>
      <c r="E249" s="74"/>
      <c r="F249" s="75" t="s">
        <v>552</v>
      </c>
      <c r="G249" s="76">
        <f>G8+G26+G34+G39+G41+G50+G56+G58+G62+G96+G111+G113+G116+G126+G130+G137+G142+G167+G170+G172+G174+G176+G185+G188+G190+G192+G198+G207+G211+G213+G215+G217+G219+G242</f>
        <v>0</v>
      </c>
      <c r="H249" s="74"/>
      <c r="I249" s="74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U249" s="14">
        <f>SUM(U9:U248)</f>
        <v>0</v>
      </c>
      <c r="V249" s="14">
        <f>SUM(V9:V248)</f>
        <v>0</v>
      </c>
      <c r="W249" s="14" t="e">
        <f>SUM(W9:W248)</f>
        <v>#REF!</v>
      </c>
    </row>
    <row r="250" spans="1:19" ht="11.25" customHeight="1">
      <c r="A250" s="3" t="s">
        <v>192</v>
      </c>
      <c r="B250" s="15"/>
      <c r="C250" s="15"/>
      <c r="D250" s="15"/>
      <c r="E250" s="15"/>
      <c r="F250" s="15"/>
      <c r="G250" s="20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</row>
    <row r="251" spans="1:9" ht="409.5" customHeight="1" hidden="1">
      <c r="A251" s="482"/>
      <c r="B251" s="483"/>
      <c r="C251" s="483"/>
      <c r="D251" s="483"/>
      <c r="E251" s="483"/>
      <c r="F251" s="483"/>
      <c r="G251" s="483"/>
      <c r="H251" s="483"/>
      <c r="I251" s="483"/>
    </row>
  </sheetData>
  <sheetProtection password="CC4E" sheet="1" selectLockedCells="1"/>
  <protectedRanges>
    <protectedRange sqref="F9:F25 F27:F33 F35:F38 F40 F42:F49 F51:F55 F57 F59:F61 F63:F95 F97:F110 F112 F114:F115 F117:F125 F127:F129 F131:F136 F138:F141 F143:F166 F168:F169 F171 F173 F175 F177:F184 F186:F187 F189 F191 F193:F197 F199:F206 F208:F210 F212 F220:F241 F243:F248" name="Oblast5"/>
  </protectedRanges>
  <mergeCells count="42">
    <mergeCell ref="A1:G1"/>
    <mergeCell ref="C4:I4"/>
    <mergeCell ref="C3:I3"/>
    <mergeCell ref="C2:I2"/>
    <mergeCell ref="H6:I6"/>
    <mergeCell ref="A6:A7"/>
    <mergeCell ref="C8:F8"/>
    <mergeCell ref="C26:F26"/>
    <mergeCell ref="C34:F34"/>
    <mergeCell ref="C39:F39"/>
    <mergeCell ref="G6:G7"/>
    <mergeCell ref="C41:F41"/>
    <mergeCell ref="C50:F50"/>
    <mergeCell ref="C56:F56"/>
    <mergeCell ref="C58:F58"/>
    <mergeCell ref="C62:F62"/>
    <mergeCell ref="C96:F96"/>
    <mergeCell ref="C111:F111"/>
    <mergeCell ref="C185:F185"/>
    <mergeCell ref="C113:F113"/>
    <mergeCell ref="C116:F116"/>
    <mergeCell ref="C126:F126"/>
    <mergeCell ref="C130:F130"/>
    <mergeCell ref="C137:F137"/>
    <mergeCell ref="C142:F142"/>
    <mergeCell ref="A251:I251"/>
    <mergeCell ref="C211:F211"/>
    <mergeCell ref="C213:F213"/>
    <mergeCell ref="C215:F215"/>
    <mergeCell ref="C217:F217"/>
    <mergeCell ref="C167:F167"/>
    <mergeCell ref="C170:F170"/>
    <mergeCell ref="C172:F172"/>
    <mergeCell ref="C174:F174"/>
    <mergeCell ref="C176:F176"/>
    <mergeCell ref="C219:F219"/>
    <mergeCell ref="C242:F242"/>
    <mergeCell ref="C188:F188"/>
    <mergeCell ref="C190:F190"/>
    <mergeCell ref="C192:F192"/>
    <mergeCell ref="C198:F198"/>
    <mergeCell ref="C207:F207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41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2.57421875" style="312" customWidth="1"/>
    <col min="2" max="2" width="4.8515625" style="312" customWidth="1"/>
    <col min="3" max="3" width="75.8515625" style="312" customWidth="1"/>
    <col min="4" max="4" width="4.7109375" style="312" customWidth="1"/>
    <col min="5" max="5" width="9.140625" style="312" customWidth="1"/>
    <col min="6" max="6" width="8.140625" style="312" customWidth="1"/>
    <col min="7" max="7" width="8.7109375" style="312" customWidth="1"/>
    <col min="8" max="8" width="9.00390625" style="312" customWidth="1"/>
    <col min="9" max="9" width="8.28125" style="312" customWidth="1"/>
    <col min="10" max="16384" width="9.140625" style="312" customWidth="1"/>
  </cols>
  <sheetData>
    <row r="1" spans="1:9" ht="15.75" customHeight="1" thickBot="1">
      <c r="A1" s="502" t="s">
        <v>964</v>
      </c>
      <c r="B1" s="502"/>
      <c r="C1" s="502"/>
      <c r="D1" s="502"/>
      <c r="E1" s="502"/>
      <c r="F1" s="502"/>
      <c r="G1" s="502"/>
      <c r="H1" s="134"/>
      <c r="I1" s="134"/>
    </row>
    <row r="2" spans="1:9" ht="24.75" customHeight="1" thickBot="1">
      <c r="A2" s="262" t="s">
        <v>918</v>
      </c>
      <c r="B2" s="316" t="s">
        <v>923</v>
      </c>
      <c r="C2" s="503" t="s">
        <v>991</v>
      </c>
      <c r="D2" s="504"/>
      <c r="E2" s="504"/>
      <c r="F2" s="504"/>
      <c r="G2" s="504"/>
      <c r="H2" s="504"/>
      <c r="I2" s="505"/>
    </row>
    <row r="3" spans="1:9" ht="24.75" customHeight="1">
      <c r="A3" s="267" t="s">
        <v>919</v>
      </c>
      <c r="B3" s="317" t="s">
        <v>700</v>
      </c>
      <c r="C3" s="506" t="s">
        <v>966</v>
      </c>
      <c r="D3" s="507"/>
      <c r="E3" s="507"/>
      <c r="F3" s="507"/>
      <c r="G3" s="507"/>
      <c r="H3" s="507"/>
      <c r="I3" s="508"/>
    </row>
    <row r="4" spans="1:9" ht="24.75" customHeight="1" thickBot="1">
      <c r="A4" s="270" t="s">
        <v>922</v>
      </c>
      <c r="B4" s="318" t="s">
        <v>923</v>
      </c>
      <c r="C4" s="499" t="s">
        <v>756</v>
      </c>
      <c r="D4" s="500"/>
      <c r="E4" s="500"/>
      <c r="F4" s="500"/>
      <c r="G4" s="500"/>
      <c r="H4" s="500"/>
      <c r="I4" s="501"/>
    </row>
    <row r="5" spans="1:9" ht="10.5" customHeight="1">
      <c r="A5" s="319"/>
      <c r="B5" s="320"/>
      <c r="C5" s="321"/>
      <c r="D5" s="321"/>
      <c r="E5" s="321"/>
      <c r="F5" s="321"/>
      <c r="G5" s="321"/>
      <c r="H5" s="321"/>
      <c r="I5" s="321"/>
    </row>
    <row r="6" spans="1:9" ht="12" customHeight="1">
      <c r="A6" s="319"/>
      <c r="B6" s="320"/>
      <c r="C6" s="322" t="s">
        <v>618</v>
      </c>
      <c r="D6" s="321"/>
      <c r="E6" s="321"/>
      <c r="F6" s="323"/>
      <c r="G6" s="323"/>
      <c r="H6" s="323"/>
      <c r="I6" s="321"/>
    </row>
    <row r="7" spans="1:9" ht="12" customHeight="1">
      <c r="A7" s="319"/>
      <c r="B7" s="320">
        <v>1</v>
      </c>
      <c r="C7" s="321" t="s">
        <v>548</v>
      </c>
      <c r="D7" s="321"/>
      <c r="E7" s="321"/>
      <c r="G7" s="323"/>
      <c r="H7" s="323">
        <f>G19</f>
        <v>0</v>
      </c>
      <c r="I7" s="324"/>
    </row>
    <row r="8" spans="1:9" ht="12" customHeight="1">
      <c r="A8" s="319"/>
      <c r="B8" s="320">
        <v>2</v>
      </c>
      <c r="C8" s="321" t="s">
        <v>551</v>
      </c>
      <c r="D8" s="321"/>
      <c r="E8" s="321"/>
      <c r="G8" s="323"/>
      <c r="H8" s="323">
        <f>I19</f>
        <v>0</v>
      </c>
      <c r="I8" s="324"/>
    </row>
    <row r="9" spans="1:9" ht="12" customHeight="1">
      <c r="A9" s="319"/>
      <c r="B9" s="320">
        <v>3</v>
      </c>
      <c r="C9" s="321" t="s">
        <v>619</v>
      </c>
      <c r="D9" s="321"/>
      <c r="E9" s="321"/>
      <c r="G9" s="323"/>
      <c r="H9" s="323">
        <f>I70</f>
        <v>0</v>
      </c>
      <c r="I9" s="324"/>
    </row>
    <row r="10" spans="1:9" ht="12" customHeight="1">
      <c r="A10" s="319"/>
      <c r="B10" s="320">
        <v>4</v>
      </c>
      <c r="C10" s="321" t="s">
        <v>339</v>
      </c>
      <c r="D10" s="321"/>
      <c r="E10" s="321"/>
      <c r="G10" s="323"/>
      <c r="H10" s="323">
        <f>I73</f>
        <v>0</v>
      </c>
      <c r="I10" s="324"/>
    </row>
    <row r="11" spans="1:9" ht="12" customHeight="1">
      <c r="A11" s="319"/>
      <c r="B11" s="320">
        <v>5</v>
      </c>
      <c r="C11" s="325" t="s">
        <v>620</v>
      </c>
      <c r="D11" s="321"/>
      <c r="E11" s="321"/>
      <c r="G11" s="323"/>
      <c r="H11" s="326">
        <f>SUM(H7:H10)</f>
        <v>0</v>
      </c>
      <c r="I11" s="324"/>
    </row>
    <row r="12" spans="1:9" ht="12" customHeight="1">
      <c r="A12" s="319"/>
      <c r="B12" s="320">
        <v>6</v>
      </c>
      <c r="C12" s="321" t="s">
        <v>621</v>
      </c>
      <c r="D12" s="321"/>
      <c r="E12" s="321"/>
      <c r="G12" s="323"/>
      <c r="H12" s="323">
        <f>H11</f>
        <v>0</v>
      </c>
      <c r="I12" s="324"/>
    </row>
    <row r="13" spans="1:9" ht="12" customHeight="1">
      <c r="A13" s="319"/>
      <c r="B13" s="320">
        <v>7</v>
      </c>
      <c r="C13" s="321" t="s">
        <v>613</v>
      </c>
      <c r="D13" s="321"/>
      <c r="E13" s="321"/>
      <c r="G13" s="323"/>
      <c r="H13" s="323">
        <f>H12*0.21</f>
        <v>0</v>
      </c>
      <c r="I13" s="324"/>
    </row>
    <row r="14" spans="1:9" ht="12" customHeight="1">
      <c r="A14" s="319"/>
      <c r="B14" s="320">
        <v>8</v>
      </c>
      <c r="C14" s="325" t="s">
        <v>622</v>
      </c>
      <c r="D14" s="321"/>
      <c r="E14" s="321"/>
      <c r="G14" s="323"/>
      <c r="H14" s="326">
        <f>H11+H13</f>
        <v>0</v>
      </c>
      <c r="I14" s="324"/>
    </row>
    <row r="15" spans="1:9" ht="12" customHeight="1" thickBot="1">
      <c r="A15" s="319"/>
      <c r="B15" s="319"/>
      <c r="C15" s="319"/>
      <c r="D15" s="319"/>
      <c r="E15" s="319"/>
      <c r="F15" s="319"/>
      <c r="G15" s="319"/>
      <c r="H15" s="319"/>
      <c r="I15" s="319"/>
    </row>
    <row r="16" spans="1:9" ht="11.25" customHeight="1">
      <c r="A16" s="319"/>
      <c r="B16" s="509" t="s">
        <v>813</v>
      </c>
      <c r="C16" s="327"/>
      <c r="D16" s="327"/>
      <c r="E16" s="327"/>
      <c r="F16" s="328"/>
      <c r="G16" s="329" t="s">
        <v>623</v>
      </c>
      <c r="H16" s="329"/>
      <c r="I16" s="330"/>
    </row>
    <row r="17" spans="1:9" ht="12" customHeight="1">
      <c r="A17" s="319"/>
      <c r="B17" s="510"/>
      <c r="C17" s="331" t="s">
        <v>624</v>
      </c>
      <c r="D17" s="331" t="s">
        <v>625</v>
      </c>
      <c r="E17" s="331" t="s">
        <v>814</v>
      </c>
      <c r="F17" s="512" t="s">
        <v>815</v>
      </c>
      <c r="G17" s="513"/>
      <c r="H17" s="512" t="s">
        <v>816</v>
      </c>
      <c r="I17" s="514"/>
    </row>
    <row r="18" spans="1:9" ht="12" customHeight="1">
      <c r="A18" s="319"/>
      <c r="B18" s="511"/>
      <c r="C18" s="332"/>
      <c r="D18" s="332"/>
      <c r="E18" s="332"/>
      <c r="F18" s="333" t="s">
        <v>626</v>
      </c>
      <c r="G18" s="333" t="s">
        <v>627</v>
      </c>
      <c r="H18" s="333" t="s">
        <v>628</v>
      </c>
      <c r="I18" s="334" t="s">
        <v>627</v>
      </c>
    </row>
    <row r="19" spans="1:9" ht="12" customHeight="1">
      <c r="A19" s="319"/>
      <c r="B19" s="335"/>
      <c r="C19" s="336" t="s">
        <v>629</v>
      </c>
      <c r="D19" s="337"/>
      <c r="E19" s="338"/>
      <c r="F19" s="339"/>
      <c r="G19" s="340">
        <f>SUM(G20:G69)</f>
        <v>0</v>
      </c>
      <c r="H19" s="341"/>
      <c r="I19" s="342">
        <f>SUM(I20:I69)</f>
        <v>0</v>
      </c>
    </row>
    <row r="20" spans="1:9" ht="12" customHeight="1">
      <c r="A20" s="319"/>
      <c r="B20" s="343">
        <v>1</v>
      </c>
      <c r="C20" s="344" t="s">
        <v>819</v>
      </c>
      <c r="D20" s="345" t="s">
        <v>960</v>
      </c>
      <c r="E20" s="346">
        <v>1</v>
      </c>
      <c r="F20" s="347">
        <f>H85</f>
        <v>0</v>
      </c>
      <c r="G20" s="347">
        <f aca="true" t="shared" si="0" ref="G20:G41">F20*E20</f>
        <v>0</v>
      </c>
      <c r="H20" s="85">
        <v>0</v>
      </c>
      <c r="I20" s="348">
        <f aca="true" t="shared" si="1" ref="I20:I41">E20*H20</f>
        <v>0</v>
      </c>
    </row>
    <row r="21" spans="1:9" ht="12" customHeight="1">
      <c r="A21" s="319"/>
      <c r="B21" s="343">
        <v>2</v>
      </c>
      <c r="C21" s="344" t="s">
        <v>820</v>
      </c>
      <c r="D21" s="345" t="s">
        <v>960</v>
      </c>
      <c r="E21" s="346">
        <v>1</v>
      </c>
      <c r="F21" s="347">
        <f>H95</f>
        <v>0</v>
      </c>
      <c r="G21" s="347">
        <f t="shared" si="0"/>
        <v>0</v>
      </c>
      <c r="H21" s="85">
        <v>0</v>
      </c>
      <c r="I21" s="348">
        <f t="shared" si="1"/>
        <v>0</v>
      </c>
    </row>
    <row r="22" spans="1:9" ht="12" customHeight="1">
      <c r="A22" s="319"/>
      <c r="B22" s="343">
        <v>3</v>
      </c>
      <c r="C22" s="344" t="s">
        <v>631</v>
      </c>
      <c r="D22" s="345" t="s">
        <v>630</v>
      </c>
      <c r="E22" s="346">
        <v>1</v>
      </c>
      <c r="F22" s="85">
        <v>0</v>
      </c>
      <c r="G22" s="347">
        <f t="shared" si="0"/>
        <v>0</v>
      </c>
      <c r="H22" s="85">
        <v>0</v>
      </c>
      <c r="I22" s="348">
        <f t="shared" si="1"/>
        <v>0</v>
      </c>
    </row>
    <row r="23" spans="1:9" ht="12" customHeight="1">
      <c r="A23" s="319"/>
      <c r="B23" s="343">
        <v>4</v>
      </c>
      <c r="C23" s="349" t="s">
        <v>632</v>
      </c>
      <c r="D23" s="350" t="s">
        <v>541</v>
      </c>
      <c r="E23" s="346">
        <v>85</v>
      </c>
      <c r="F23" s="85">
        <v>0</v>
      </c>
      <c r="G23" s="347">
        <f t="shared" si="0"/>
        <v>0</v>
      </c>
      <c r="H23" s="85">
        <v>0</v>
      </c>
      <c r="I23" s="348">
        <f t="shared" si="1"/>
        <v>0</v>
      </c>
    </row>
    <row r="24" spans="1:9" ht="12" customHeight="1">
      <c r="A24" s="319"/>
      <c r="B24" s="343">
        <v>5</v>
      </c>
      <c r="C24" s="344" t="s">
        <v>633</v>
      </c>
      <c r="D24" s="345" t="s">
        <v>541</v>
      </c>
      <c r="E24" s="346">
        <v>15</v>
      </c>
      <c r="F24" s="85">
        <v>0</v>
      </c>
      <c r="G24" s="347">
        <f t="shared" si="0"/>
        <v>0</v>
      </c>
      <c r="H24" s="85">
        <v>0</v>
      </c>
      <c r="I24" s="348">
        <f t="shared" si="1"/>
        <v>0</v>
      </c>
    </row>
    <row r="25" spans="1:9" ht="12" customHeight="1">
      <c r="A25" s="319"/>
      <c r="B25" s="343">
        <v>6</v>
      </c>
      <c r="C25" s="344" t="s">
        <v>634</v>
      </c>
      <c r="D25" s="345" t="s">
        <v>541</v>
      </c>
      <c r="E25" s="346">
        <v>8</v>
      </c>
      <c r="F25" s="85">
        <v>0</v>
      </c>
      <c r="G25" s="347">
        <f t="shared" si="0"/>
        <v>0</v>
      </c>
      <c r="H25" s="85">
        <v>0</v>
      </c>
      <c r="I25" s="348">
        <f t="shared" si="1"/>
        <v>0</v>
      </c>
    </row>
    <row r="26" spans="1:9" ht="12" customHeight="1">
      <c r="A26" s="319"/>
      <c r="B26" s="343">
        <v>7</v>
      </c>
      <c r="C26" s="344" t="s">
        <v>635</v>
      </c>
      <c r="D26" s="345" t="s">
        <v>541</v>
      </c>
      <c r="E26" s="346">
        <v>115</v>
      </c>
      <c r="F26" s="85">
        <v>0</v>
      </c>
      <c r="G26" s="347">
        <f t="shared" si="0"/>
        <v>0</v>
      </c>
      <c r="H26" s="85">
        <v>0</v>
      </c>
      <c r="I26" s="348">
        <f t="shared" si="1"/>
        <v>0</v>
      </c>
    </row>
    <row r="27" spans="1:9" ht="12" customHeight="1">
      <c r="A27" s="319"/>
      <c r="B27" s="343">
        <v>8</v>
      </c>
      <c r="C27" s="344" t="s">
        <v>636</v>
      </c>
      <c r="D27" s="345" t="s">
        <v>541</v>
      </c>
      <c r="E27" s="346">
        <v>85</v>
      </c>
      <c r="F27" s="85">
        <v>0</v>
      </c>
      <c r="G27" s="347">
        <f t="shared" si="0"/>
        <v>0</v>
      </c>
      <c r="H27" s="85">
        <v>0</v>
      </c>
      <c r="I27" s="348">
        <f t="shared" si="1"/>
        <v>0</v>
      </c>
    </row>
    <row r="28" spans="1:9" ht="12" customHeight="1">
      <c r="A28" s="319"/>
      <c r="B28" s="343">
        <v>9</v>
      </c>
      <c r="C28" s="344" t="s">
        <v>637</v>
      </c>
      <c r="D28" s="345" t="s">
        <v>541</v>
      </c>
      <c r="E28" s="346">
        <v>45</v>
      </c>
      <c r="F28" s="85">
        <v>0</v>
      </c>
      <c r="G28" s="347">
        <f t="shared" si="0"/>
        <v>0</v>
      </c>
      <c r="H28" s="85">
        <v>0</v>
      </c>
      <c r="I28" s="348">
        <f t="shared" si="1"/>
        <v>0</v>
      </c>
    </row>
    <row r="29" spans="1:9" ht="12" customHeight="1">
      <c r="A29" s="319"/>
      <c r="B29" s="343">
        <v>10</v>
      </c>
      <c r="C29" s="344" t="s">
        <v>638</v>
      </c>
      <c r="D29" s="345" t="s">
        <v>541</v>
      </c>
      <c r="E29" s="346">
        <v>15</v>
      </c>
      <c r="F29" s="85">
        <v>0</v>
      </c>
      <c r="G29" s="347">
        <f t="shared" si="0"/>
        <v>0</v>
      </c>
      <c r="H29" s="85">
        <v>0</v>
      </c>
      <c r="I29" s="348">
        <f t="shared" si="1"/>
        <v>0</v>
      </c>
    </row>
    <row r="30" spans="1:9" ht="12" customHeight="1">
      <c r="A30" s="319"/>
      <c r="B30" s="343">
        <v>11</v>
      </c>
      <c r="C30" s="344" t="s">
        <v>639</v>
      </c>
      <c r="D30" s="345" t="s">
        <v>541</v>
      </c>
      <c r="E30" s="346">
        <v>15</v>
      </c>
      <c r="F30" s="85">
        <v>0</v>
      </c>
      <c r="G30" s="347">
        <f t="shared" si="0"/>
        <v>0</v>
      </c>
      <c r="H30" s="85">
        <v>0</v>
      </c>
      <c r="I30" s="348">
        <f t="shared" si="1"/>
        <v>0</v>
      </c>
    </row>
    <row r="31" spans="1:9" ht="12" customHeight="1">
      <c r="A31" s="319"/>
      <c r="B31" s="343">
        <v>12</v>
      </c>
      <c r="C31" s="344" t="s">
        <v>640</v>
      </c>
      <c r="D31" s="345" t="s">
        <v>541</v>
      </c>
      <c r="E31" s="346">
        <v>15</v>
      </c>
      <c r="F31" s="85">
        <v>0</v>
      </c>
      <c r="G31" s="347">
        <f t="shared" si="0"/>
        <v>0</v>
      </c>
      <c r="H31" s="85">
        <v>0</v>
      </c>
      <c r="I31" s="348">
        <f t="shared" si="1"/>
        <v>0</v>
      </c>
    </row>
    <row r="32" spans="1:9" ht="12" customHeight="1">
      <c r="A32" s="319"/>
      <c r="B32" s="343">
        <v>13</v>
      </c>
      <c r="C32" s="344" t="s">
        <v>641</v>
      </c>
      <c r="D32" s="351" t="s">
        <v>541</v>
      </c>
      <c r="E32" s="351">
        <v>50</v>
      </c>
      <c r="F32" s="85">
        <v>0</v>
      </c>
      <c r="G32" s="347">
        <f t="shared" si="0"/>
        <v>0</v>
      </c>
      <c r="H32" s="85">
        <v>0</v>
      </c>
      <c r="I32" s="348">
        <f t="shared" si="1"/>
        <v>0</v>
      </c>
    </row>
    <row r="33" spans="1:9" ht="12" customHeight="1">
      <c r="A33" s="319"/>
      <c r="B33" s="343">
        <v>14</v>
      </c>
      <c r="C33" s="352" t="s">
        <v>642</v>
      </c>
      <c r="D33" s="353" t="s">
        <v>541</v>
      </c>
      <c r="E33" s="353">
        <v>15</v>
      </c>
      <c r="F33" s="85">
        <v>0</v>
      </c>
      <c r="G33" s="347">
        <f t="shared" si="0"/>
        <v>0</v>
      </c>
      <c r="H33" s="85">
        <v>0</v>
      </c>
      <c r="I33" s="348">
        <f t="shared" si="1"/>
        <v>0</v>
      </c>
    </row>
    <row r="34" spans="1:9" ht="12" customHeight="1">
      <c r="A34" s="319"/>
      <c r="B34" s="343">
        <v>15</v>
      </c>
      <c r="C34" s="344" t="s">
        <v>643</v>
      </c>
      <c r="D34" s="345" t="s">
        <v>541</v>
      </c>
      <c r="E34" s="346">
        <v>25</v>
      </c>
      <c r="F34" s="85">
        <v>0</v>
      </c>
      <c r="G34" s="347">
        <f t="shared" si="0"/>
        <v>0</v>
      </c>
      <c r="H34" s="85">
        <v>0</v>
      </c>
      <c r="I34" s="348">
        <f t="shared" si="1"/>
        <v>0</v>
      </c>
    </row>
    <row r="35" spans="1:9" ht="12" customHeight="1">
      <c r="A35" s="319"/>
      <c r="B35" s="343">
        <v>16</v>
      </c>
      <c r="C35" s="344" t="s">
        <v>644</v>
      </c>
      <c r="D35" s="345" t="s">
        <v>541</v>
      </c>
      <c r="E35" s="346">
        <v>15</v>
      </c>
      <c r="F35" s="85">
        <v>0</v>
      </c>
      <c r="G35" s="347">
        <f t="shared" si="0"/>
        <v>0</v>
      </c>
      <c r="H35" s="85">
        <v>0</v>
      </c>
      <c r="I35" s="348">
        <f t="shared" si="1"/>
        <v>0</v>
      </c>
    </row>
    <row r="36" spans="1:9" ht="12" customHeight="1">
      <c r="A36" s="319"/>
      <c r="B36" s="343">
        <v>17</v>
      </c>
      <c r="C36" s="344" t="s">
        <v>645</v>
      </c>
      <c r="D36" s="345" t="s">
        <v>541</v>
      </c>
      <c r="E36" s="346">
        <v>10</v>
      </c>
      <c r="F36" s="85">
        <v>0</v>
      </c>
      <c r="G36" s="347">
        <f t="shared" si="0"/>
        <v>0</v>
      </c>
      <c r="H36" s="85">
        <v>0</v>
      </c>
      <c r="I36" s="348">
        <f t="shared" si="1"/>
        <v>0</v>
      </c>
    </row>
    <row r="37" spans="1:9" ht="12" customHeight="1">
      <c r="A37" s="319"/>
      <c r="B37" s="343">
        <v>18</v>
      </c>
      <c r="C37" s="344" t="s">
        <v>646</v>
      </c>
      <c r="D37" s="345" t="s">
        <v>541</v>
      </c>
      <c r="E37" s="346">
        <v>5</v>
      </c>
      <c r="F37" s="85">
        <v>0</v>
      </c>
      <c r="G37" s="347">
        <f t="shared" si="0"/>
        <v>0</v>
      </c>
      <c r="H37" s="85">
        <v>0</v>
      </c>
      <c r="I37" s="348">
        <f t="shared" si="1"/>
        <v>0</v>
      </c>
    </row>
    <row r="38" spans="1:9" ht="12" customHeight="1">
      <c r="A38" s="319"/>
      <c r="B38" s="343">
        <v>19</v>
      </c>
      <c r="C38" s="344" t="s">
        <v>647</v>
      </c>
      <c r="D38" s="345" t="s">
        <v>630</v>
      </c>
      <c r="E38" s="346">
        <v>5</v>
      </c>
      <c r="F38" s="85">
        <v>0</v>
      </c>
      <c r="G38" s="347">
        <f t="shared" si="0"/>
        <v>0</v>
      </c>
      <c r="H38" s="85">
        <v>0</v>
      </c>
      <c r="I38" s="348">
        <f t="shared" si="1"/>
        <v>0</v>
      </c>
    </row>
    <row r="39" spans="1:9" ht="12" customHeight="1">
      <c r="A39" s="319"/>
      <c r="B39" s="343">
        <v>20</v>
      </c>
      <c r="C39" s="344" t="s">
        <v>648</v>
      </c>
      <c r="D39" s="345" t="s">
        <v>541</v>
      </c>
      <c r="E39" s="346">
        <v>15</v>
      </c>
      <c r="F39" s="85">
        <v>0</v>
      </c>
      <c r="G39" s="347">
        <f t="shared" si="0"/>
        <v>0</v>
      </c>
      <c r="H39" s="85">
        <v>0</v>
      </c>
      <c r="I39" s="348">
        <f t="shared" si="1"/>
        <v>0</v>
      </c>
    </row>
    <row r="40" spans="1:9" ht="12" customHeight="1">
      <c r="A40" s="319"/>
      <c r="B40" s="343">
        <v>21</v>
      </c>
      <c r="C40" s="352" t="s">
        <v>649</v>
      </c>
      <c r="D40" s="354" t="s">
        <v>541</v>
      </c>
      <c r="E40" s="355">
        <v>15</v>
      </c>
      <c r="F40" s="85">
        <v>0</v>
      </c>
      <c r="G40" s="347">
        <f t="shared" si="0"/>
        <v>0</v>
      </c>
      <c r="H40" s="85">
        <v>0</v>
      </c>
      <c r="I40" s="348">
        <f t="shared" si="1"/>
        <v>0</v>
      </c>
    </row>
    <row r="41" spans="1:9" ht="12" customHeight="1">
      <c r="A41" s="319"/>
      <c r="B41" s="343">
        <v>22</v>
      </c>
      <c r="C41" s="344" t="s">
        <v>650</v>
      </c>
      <c r="D41" s="345" t="s">
        <v>630</v>
      </c>
      <c r="E41" s="346">
        <v>5</v>
      </c>
      <c r="F41" s="85">
        <v>0</v>
      </c>
      <c r="G41" s="356">
        <f t="shared" si="0"/>
        <v>0</v>
      </c>
      <c r="H41" s="85">
        <v>0</v>
      </c>
      <c r="I41" s="357">
        <f t="shared" si="1"/>
        <v>0</v>
      </c>
    </row>
    <row r="42" spans="1:9" ht="12" customHeight="1">
      <c r="A42" s="358"/>
      <c r="B42" s="359"/>
      <c r="C42" s="360" t="s">
        <v>651</v>
      </c>
      <c r="D42" s="361"/>
      <c r="E42" s="362"/>
      <c r="F42" s="363"/>
      <c r="G42" s="364"/>
      <c r="H42" s="363"/>
      <c r="I42" s="365"/>
    </row>
    <row r="43" spans="1:9" ht="12" customHeight="1">
      <c r="A43" s="319"/>
      <c r="B43" s="343">
        <v>23</v>
      </c>
      <c r="C43" s="366" t="s">
        <v>652</v>
      </c>
      <c r="D43" s="361" t="s">
        <v>630</v>
      </c>
      <c r="E43" s="362">
        <v>4</v>
      </c>
      <c r="F43" s="85">
        <v>0</v>
      </c>
      <c r="G43" s="363">
        <f aca="true" t="shared" si="2" ref="G43:G69">F43*E43</f>
        <v>0</v>
      </c>
      <c r="H43" s="85">
        <v>0</v>
      </c>
      <c r="I43" s="367">
        <f aca="true" t="shared" si="3" ref="I43:I49">E43*H43</f>
        <v>0</v>
      </c>
    </row>
    <row r="44" spans="1:9" ht="12" customHeight="1">
      <c r="A44" s="319"/>
      <c r="B44" s="343">
        <v>24</v>
      </c>
      <c r="C44" s="366" t="s">
        <v>653</v>
      </c>
      <c r="D44" s="361" t="s">
        <v>630</v>
      </c>
      <c r="E44" s="362">
        <v>2</v>
      </c>
      <c r="F44" s="85">
        <v>0</v>
      </c>
      <c r="G44" s="363">
        <f t="shared" si="2"/>
        <v>0</v>
      </c>
      <c r="H44" s="85">
        <v>0</v>
      </c>
      <c r="I44" s="367">
        <f t="shared" si="3"/>
        <v>0</v>
      </c>
    </row>
    <row r="45" spans="1:9" ht="30" customHeight="1">
      <c r="A45" s="319"/>
      <c r="B45" s="343">
        <v>25</v>
      </c>
      <c r="C45" s="366" t="s">
        <v>654</v>
      </c>
      <c r="D45" s="361" t="s">
        <v>630</v>
      </c>
      <c r="E45" s="362">
        <v>4</v>
      </c>
      <c r="F45" s="85">
        <v>0</v>
      </c>
      <c r="G45" s="363">
        <f t="shared" si="2"/>
        <v>0</v>
      </c>
      <c r="H45" s="85">
        <v>0</v>
      </c>
      <c r="I45" s="367">
        <f t="shared" si="3"/>
        <v>0</v>
      </c>
    </row>
    <row r="46" spans="1:9" ht="23.25" customHeight="1">
      <c r="A46" s="319"/>
      <c r="B46" s="343">
        <v>26</v>
      </c>
      <c r="C46" s="366" t="s">
        <v>655</v>
      </c>
      <c r="D46" s="361" t="s">
        <v>630</v>
      </c>
      <c r="E46" s="362">
        <v>10</v>
      </c>
      <c r="F46" s="85">
        <v>0</v>
      </c>
      <c r="G46" s="363">
        <f t="shared" si="2"/>
        <v>0</v>
      </c>
      <c r="H46" s="85">
        <v>0</v>
      </c>
      <c r="I46" s="367">
        <f t="shared" si="3"/>
        <v>0</v>
      </c>
    </row>
    <row r="47" spans="1:9" ht="12" customHeight="1">
      <c r="A47" s="319"/>
      <c r="B47" s="343">
        <v>27</v>
      </c>
      <c r="C47" s="366" t="s">
        <v>656</v>
      </c>
      <c r="D47" s="361" t="s">
        <v>630</v>
      </c>
      <c r="E47" s="362">
        <v>3</v>
      </c>
      <c r="F47" s="85">
        <v>0</v>
      </c>
      <c r="G47" s="364">
        <f t="shared" si="2"/>
        <v>0</v>
      </c>
      <c r="H47" s="85">
        <v>0</v>
      </c>
      <c r="I47" s="365">
        <f t="shared" si="3"/>
        <v>0</v>
      </c>
    </row>
    <row r="48" spans="1:9" s="369" customFormat="1" ht="12" customHeight="1">
      <c r="A48" s="358"/>
      <c r="B48" s="359">
        <v>28</v>
      </c>
      <c r="C48" s="368" t="s">
        <v>970</v>
      </c>
      <c r="D48" s="361" t="s">
        <v>630</v>
      </c>
      <c r="E48" s="362">
        <v>4</v>
      </c>
      <c r="F48" s="85">
        <v>0</v>
      </c>
      <c r="G48" s="364">
        <f t="shared" si="2"/>
        <v>0</v>
      </c>
      <c r="H48" s="85">
        <v>0</v>
      </c>
      <c r="I48" s="365">
        <f t="shared" si="3"/>
        <v>0</v>
      </c>
    </row>
    <row r="49" spans="1:9" s="369" customFormat="1" ht="12" customHeight="1">
      <c r="A49" s="358"/>
      <c r="B49" s="359">
        <v>29</v>
      </c>
      <c r="C49" s="368" t="s">
        <v>971</v>
      </c>
      <c r="D49" s="361" t="s">
        <v>630</v>
      </c>
      <c r="E49" s="362">
        <v>10</v>
      </c>
      <c r="F49" s="85">
        <v>0</v>
      </c>
      <c r="G49" s="364">
        <f t="shared" si="2"/>
        <v>0</v>
      </c>
      <c r="H49" s="85">
        <v>0</v>
      </c>
      <c r="I49" s="365">
        <f t="shared" si="3"/>
        <v>0</v>
      </c>
    </row>
    <row r="50" spans="1:9" ht="12" customHeight="1">
      <c r="A50" s="319"/>
      <c r="B50" s="343">
        <v>30</v>
      </c>
      <c r="C50" s="344" t="s">
        <v>657</v>
      </c>
      <c r="D50" s="345" t="s">
        <v>630</v>
      </c>
      <c r="E50" s="346">
        <f>SUM(E48:E49)</f>
        <v>14</v>
      </c>
      <c r="F50" s="85">
        <v>0</v>
      </c>
      <c r="G50" s="356">
        <f t="shared" si="2"/>
        <v>0</v>
      </c>
      <c r="H50" s="85">
        <v>0</v>
      </c>
      <c r="I50" s="357">
        <f>H50*E50</f>
        <v>0</v>
      </c>
    </row>
    <row r="51" spans="1:9" ht="12" customHeight="1">
      <c r="A51" s="319"/>
      <c r="B51" s="343">
        <v>31</v>
      </c>
      <c r="C51" s="344" t="s">
        <v>658</v>
      </c>
      <c r="D51" s="345" t="s">
        <v>630</v>
      </c>
      <c r="E51" s="346">
        <v>10</v>
      </c>
      <c r="F51" s="85">
        <v>0</v>
      </c>
      <c r="G51" s="356">
        <f t="shared" si="2"/>
        <v>0</v>
      </c>
      <c r="H51" s="85">
        <v>0</v>
      </c>
      <c r="I51" s="357">
        <f>H51*E51</f>
        <v>0</v>
      </c>
    </row>
    <row r="52" spans="1:9" ht="12" customHeight="1">
      <c r="A52" s="319"/>
      <c r="B52" s="343">
        <v>32</v>
      </c>
      <c r="C52" s="344" t="s">
        <v>659</v>
      </c>
      <c r="D52" s="345" t="s">
        <v>630</v>
      </c>
      <c r="E52" s="346">
        <v>5</v>
      </c>
      <c r="F52" s="85">
        <v>0</v>
      </c>
      <c r="G52" s="356">
        <f t="shared" si="2"/>
        <v>0</v>
      </c>
      <c r="H52" s="85">
        <v>0</v>
      </c>
      <c r="I52" s="357">
        <f>H52*E52</f>
        <v>0</v>
      </c>
    </row>
    <row r="53" spans="1:9" ht="12" customHeight="1">
      <c r="A53" s="319"/>
      <c r="B53" s="343">
        <v>33</v>
      </c>
      <c r="C53" s="344" t="s">
        <v>660</v>
      </c>
      <c r="D53" s="345" t="s">
        <v>630</v>
      </c>
      <c r="E53" s="346">
        <v>1</v>
      </c>
      <c r="F53" s="85">
        <v>0</v>
      </c>
      <c r="G53" s="356">
        <f t="shared" si="2"/>
        <v>0</v>
      </c>
      <c r="H53" s="85">
        <v>0</v>
      </c>
      <c r="I53" s="357">
        <f aca="true" t="shared" si="4" ref="I53:I69">E53*H53</f>
        <v>0</v>
      </c>
    </row>
    <row r="54" spans="1:9" ht="12" customHeight="1">
      <c r="A54" s="319"/>
      <c r="B54" s="343">
        <v>34</v>
      </c>
      <c r="C54" s="344" t="s">
        <v>661</v>
      </c>
      <c r="D54" s="345" t="s">
        <v>630</v>
      </c>
      <c r="E54" s="346">
        <v>5</v>
      </c>
      <c r="F54" s="85">
        <v>0</v>
      </c>
      <c r="G54" s="356">
        <f t="shared" si="2"/>
        <v>0</v>
      </c>
      <c r="H54" s="85">
        <v>0</v>
      </c>
      <c r="I54" s="357">
        <f t="shared" si="4"/>
        <v>0</v>
      </c>
    </row>
    <row r="55" spans="1:9" ht="12" customHeight="1">
      <c r="A55" s="319"/>
      <c r="B55" s="343">
        <v>35</v>
      </c>
      <c r="C55" s="344" t="s">
        <v>662</v>
      </c>
      <c r="D55" s="345" t="s">
        <v>630</v>
      </c>
      <c r="E55" s="346">
        <v>5</v>
      </c>
      <c r="F55" s="85">
        <v>0</v>
      </c>
      <c r="G55" s="356">
        <f t="shared" si="2"/>
        <v>0</v>
      </c>
      <c r="H55" s="85">
        <v>0</v>
      </c>
      <c r="I55" s="357">
        <f t="shared" si="4"/>
        <v>0</v>
      </c>
    </row>
    <row r="56" spans="1:9" ht="12" customHeight="1">
      <c r="A56" s="319"/>
      <c r="B56" s="343">
        <v>36</v>
      </c>
      <c r="C56" s="344" t="s">
        <v>663</v>
      </c>
      <c r="D56" s="345" t="s">
        <v>630</v>
      </c>
      <c r="E56" s="346">
        <v>1</v>
      </c>
      <c r="F56" s="85">
        <v>0</v>
      </c>
      <c r="G56" s="356">
        <f t="shared" si="2"/>
        <v>0</v>
      </c>
      <c r="H56" s="85">
        <v>0</v>
      </c>
      <c r="I56" s="357">
        <f t="shared" si="4"/>
        <v>0</v>
      </c>
    </row>
    <row r="57" spans="1:9" ht="12" customHeight="1">
      <c r="A57" s="319"/>
      <c r="B57" s="343">
        <v>37</v>
      </c>
      <c r="C57" s="344" t="s">
        <v>664</v>
      </c>
      <c r="D57" s="345" t="s">
        <v>630</v>
      </c>
      <c r="E57" s="346">
        <v>2</v>
      </c>
      <c r="F57" s="85">
        <v>0</v>
      </c>
      <c r="G57" s="356">
        <f t="shared" si="2"/>
        <v>0</v>
      </c>
      <c r="H57" s="85">
        <v>0</v>
      </c>
      <c r="I57" s="357">
        <f t="shared" si="4"/>
        <v>0</v>
      </c>
    </row>
    <row r="58" spans="1:9" ht="12" customHeight="1">
      <c r="A58" s="319"/>
      <c r="B58" s="343">
        <v>38</v>
      </c>
      <c r="C58" s="344" t="s">
        <v>665</v>
      </c>
      <c r="D58" s="345" t="s">
        <v>540</v>
      </c>
      <c r="E58" s="370">
        <v>0.5</v>
      </c>
      <c r="F58" s="85">
        <v>0</v>
      </c>
      <c r="G58" s="356">
        <f t="shared" si="2"/>
        <v>0</v>
      </c>
      <c r="H58" s="85">
        <v>0</v>
      </c>
      <c r="I58" s="357">
        <f t="shared" si="4"/>
        <v>0</v>
      </c>
    </row>
    <row r="59" spans="1:9" ht="12" customHeight="1">
      <c r="A59" s="319"/>
      <c r="B59" s="343">
        <v>39</v>
      </c>
      <c r="C59" s="371" t="s">
        <v>666</v>
      </c>
      <c r="D59" s="372" t="s">
        <v>630</v>
      </c>
      <c r="E59" s="346">
        <v>2</v>
      </c>
      <c r="F59" s="85">
        <v>0</v>
      </c>
      <c r="G59" s="373">
        <f t="shared" si="2"/>
        <v>0</v>
      </c>
      <c r="H59" s="85">
        <v>0</v>
      </c>
      <c r="I59" s="374">
        <f t="shared" si="4"/>
        <v>0</v>
      </c>
    </row>
    <row r="60" spans="1:9" ht="12" customHeight="1">
      <c r="A60" s="319"/>
      <c r="B60" s="343">
        <v>40</v>
      </c>
      <c r="C60" s="344" t="s">
        <v>667</v>
      </c>
      <c r="D60" s="345" t="s">
        <v>630</v>
      </c>
      <c r="E60" s="346">
        <v>2</v>
      </c>
      <c r="F60" s="85">
        <v>0</v>
      </c>
      <c r="G60" s="356">
        <f t="shared" si="2"/>
        <v>0</v>
      </c>
      <c r="H60" s="85">
        <v>0</v>
      </c>
      <c r="I60" s="357">
        <f t="shared" si="4"/>
        <v>0</v>
      </c>
    </row>
    <row r="61" spans="1:9" ht="12" customHeight="1">
      <c r="A61" s="319"/>
      <c r="B61" s="343">
        <v>41</v>
      </c>
      <c r="C61" s="344" t="s">
        <v>668</v>
      </c>
      <c r="D61" s="345" t="s">
        <v>630</v>
      </c>
      <c r="E61" s="346">
        <v>2</v>
      </c>
      <c r="F61" s="85">
        <v>0</v>
      </c>
      <c r="G61" s="356">
        <f t="shared" si="2"/>
        <v>0</v>
      </c>
      <c r="H61" s="85">
        <v>0</v>
      </c>
      <c r="I61" s="357">
        <f t="shared" si="4"/>
        <v>0</v>
      </c>
    </row>
    <row r="62" spans="1:9" ht="12" customHeight="1">
      <c r="A62" s="319"/>
      <c r="B62" s="343">
        <v>42</v>
      </c>
      <c r="C62" s="344" t="s">
        <v>669</v>
      </c>
      <c r="D62" s="345" t="s">
        <v>630</v>
      </c>
      <c r="E62" s="375">
        <v>6</v>
      </c>
      <c r="F62" s="85">
        <v>0</v>
      </c>
      <c r="G62" s="356">
        <f t="shared" si="2"/>
        <v>0</v>
      </c>
      <c r="H62" s="85">
        <v>0</v>
      </c>
      <c r="I62" s="357">
        <f t="shared" si="4"/>
        <v>0</v>
      </c>
    </row>
    <row r="63" spans="1:9" ht="12" customHeight="1">
      <c r="A63" s="319"/>
      <c r="B63" s="343">
        <v>43</v>
      </c>
      <c r="C63" s="344" t="s">
        <v>670</v>
      </c>
      <c r="D63" s="345" t="s">
        <v>630</v>
      </c>
      <c r="E63" s="375">
        <v>5</v>
      </c>
      <c r="F63" s="85">
        <v>0</v>
      </c>
      <c r="G63" s="356">
        <f t="shared" si="2"/>
        <v>0</v>
      </c>
      <c r="H63" s="85">
        <v>0</v>
      </c>
      <c r="I63" s="357">
        <f t="shared" si="4"/>
        <v>0</v>
      </c>
    </row>
    <row r="64" spans="1:9" ht="12" customHeight="1">
      <c r="A64" s="319"/>
      <c r="B64" s="343">
        <v>44</v>
      </c>
      <c r="C64" s="344" t="s">
        <v>671</v>
      </c>
      <c r="D64" s="345" t="s">
        <v>630</v>
      </c>
      <c r="E64" s="375">
        <v>2</v>
      </c>
      <c r="F64" s="85">
        <v>0</v>
      </c>
      <c r="G64" s="356">
        <f t="shared" si="2"/>
        <v>0</v>
      </c>
      <c r="H64" s="85">
        <v>0</v>
      </c>
      <c r="I64" s="357">
        <f t="shared" si="4"/>
        <v>0</v>
      </c>
    </row>
    <row r="65" spans="1:9" ht="12" customHeight="1">
      <c r="A65" s="319"/>
      <c r="B65" s="343">
        <v>45</v>
      </c>
      <c r="C65" s="344" t="s">
        <v>672</v>
      </c>
      <c r="D65" s="345" t="s">
        <v>630</v>
      </c>
      <c r="E65" s="375">
        <v>2</v>
      </c>
      <c r="F65" s="85">
        <v>0</v>
      </c>
      <c r="G65" s="356">
        <f t="shared" si="2"/>
        <v>0</v>
      </c>
      <c r="H65" s="85">
        <v>0</v>
      </c>
      <c r="I65" s="357">
        <f t="shared" si="4"/>
        <v>0</v>
      </c>
    </row>
    <row r="66" spans="1:9" ht="12" customHeight="1">
      <c r="A66" s="319"/>
      <c r="B66" s="343">
        <v>46</v>
      </c>
      <c r="C66" s="344" t="s">
        <v>673</v>
      </c>
      <c r="D66" s="345" t="s">
        <v>541</v>
      </c>
      <c r="E66" s="346">
        <v>55</v>
      </c>
      <c r="F66" s="85">
        <v>0</v>
      </c>
      <c r="G66" s="356">
        <f t="shared" si="2"/>
        <v>0</v>
      </c>
      <c r="H66" s="85">
        <v>0</v>
      </c>
      <c r="I66" s="357">
        <f t="shared" si="4"/>
        <v>0</v>
      </c>
    </row>
    <row r="67" spans="1:9" ht="12" customHeight="1">
      <c r="A67" s="319"/>
      <c r="B67" s="343">
        <v>47</v>
      </c>
      <c r="C67" s="344" t="s">
        <v>674</v>
      </c>
      <c r="D67" s="345" t="s">
        <v>541</v>
      </c>
      <c r="E67" s="346">
        <v>25</v>
      </c>
      <c r="F67" s="85">
        <v>0</v>
      </c>
      <c r="G67" s="356">
        <f t="shared" si="2"/>
        <v>0</v>
      </c>
      <c r="H67" s="85">
        <v>0</v>
      </c>
      <c r="I67" s="357">
        <f t="shared" si="4"/>
        <v>0</v>
      </c>
    </row>
    <row r="68" spans="1:9" ht="12" customHeight="1">
      <c r="A68" s="319"/>
      <c r="B68" s="343">
        <v>48</v>
      </c>
      <c r="C68" s="344" t="s">
        <v>675</v>
      </c>
      <c r="D68" s="345" t="s">
        <v>630</v>
      </c>
      <c r="E68" s="346">
        <f>SUM(E50:E52)</f>
        <v>29</v>
      </c>
      <c r="F68" s="85">
        <v>0</v>
      </c>
      <c r="G68" s="356">
        <f t="shared" si="2"/>
        <v>0</v>
      </c>
      <c r="H68" s="85">
        <v>0</v>
      </c>
      <c r="I68" s="357">
        <f t="shared" si="4"/>
        <v>0</v>
      </c>
    </row>
    <row r="69" spans="1:9" ht="12" customHeight="1">
      <c r="A69" s="319"/>
      <c r="B69" s="343">
        <v>49</v>
      </c>
      <c r="C69" s="344" t="s">
        <v>676</v>
      </c>
      <c r="D69" s="345" t="s">
        <v>976</v>
      </c>
      <c r="E69" s="346">
        <v>1</v>
      </c>
      <c r="F69" s="85">
        <v>0</v>
      </c>
      <c r="G69" s="356">
        <f t="shared" si="2"/>
        <v>0</v>
      </c>
      <c r="H69" s="85">
        <v>0</v>
      </c>
      <c r="I69" s="357">
        <f t="shared" si="4"/>
        <v>0</v>
      </c>
    </row>
    <row r="70" spans="1:9" ht="12" customHeight="1">
      <c r="A70" s="319"/>
      <c r="B70" s="376"/>
      <c r="C70" s="377" t="s">
        <v>619</v>
      </c>
      <c r="D70" s="378"/>
      <c r="E70" s="379"/>
      <c r="F70" s="380"/>
      <c r="G70" s="381"/>
      <c r="H70" s="381"/>
      <c r="I70" s="382">
        <f>SUM(I71:I72)</f>
        <v>0</v>
      </c>
    </row>
    <row r="71" spans="1:9" ht="12" customHeight="1">
      <c r="A71" s="319"/>
      <c r="B71" s="343">
        <v>50</v>
      </c>
      <c r="C71" s="344" t="s">
        <v>678</v>
      </c>
      <c r="D71" s="361" t="s">
        <v>960</v>
      </c>
      <c r="E71" s="346">
        <v>1</v>
      </c>
      <c r="F71" s="383"/>
      <c r="G71" s="384"/>
      <c r="H71" s="86">
        <v>0</v>
      </c>
      <c r="I71" s="357">
        <f>E71*H71</f>
        <v>0</v>
      </c>
    </row>
    <row r="72" spans="1:9" ht="12" customHeight="1">
      <c r="A72" s="319"/>
      <c r="B72" s="343">
        <v>51</v>
      </c>
      <c r="C72" s="344" t="s">
        <v>679</v>
      </c>
      <c r="D72" s="361" t="s">
        <v>960</v>
      </c>
      <c r="E72" s="346">
        <v>1</v>
      </c>
      <c r="F72" s="383"/>
      <c r="G72" s="384"/>
      <c r="H72" s="86">
        <v>0</v>
      </c>
      <c r="I72" s="357">
        <f>E72*H72</f>
        <v>0</v>
      </c>
    </row>
    <row r="73" spans="1:9" ht="12" customHeight="1">
      <c r="A73" s="319"/>
      <c r="B73" s="385"/>
      <c r="C73" s="377" t="s">
        <v>339</v>
      </c>
      <c r="D73" s="386"/>
      <c r="E73" s="387"/>
      <c r="F73" s="48"/>
      <c r="G73" s="48"/>
      <c r="H73" s="88"/>
      <c r="I73" s="84">
        <f>SUM(I74:I80)</f>
        <v>0</v>
      </c>
    </row>
    <row r="74" spans="1:9" ht="12" customHeight="1">
      <c r="A74" s="319"/>
      <c r="B74" s="388">
        <v>52</v>
      </c>
      <c r="C74" s="389" t="s">
        <v>681</v>
      </c>
      <c r="D74" s="390" t="s">
        <v>539</v>
      </c>
      <c r="E74" s="391">
        <v>2</v>
      </c>
      <c r="F74" s="50"/>
      <c r="G74" s="50"/>
      <c r="H74" s="90">
        <v>0</v>
      </c>
      <c r="I74" s="87">
        <f aca="true" t="shared" si="5" ref="I74:I80">H74*E74</f>
        <v>0</v>
      </c>
    </row>
    <row r="75" spans="1:9" ht="12" customHeight="1">
      <c r="A75" s="319"/>
      <c r="B75" s="388">
        <v>53</v>
      </c>
      <c r="C75" s="389" t="s">
        <v>682</v>
      </c>
      <c r="D75" s="390" t="s">
        <v>541</v>
      </c>
      <c r="E75" s="391">
        <v>55</v>
      </c>
      <c r="F75" s="50"/>
      <c r="G75" s="50"/>
      <c r="H75" s="90">
        <v>0</v>
      </c>
      <c r="I75" s="87">
        <f t="shared" si="5"/>
        <v>0</v>
      </c>
    </row>
    <row r="76" spans="1:9" ht="12" customHeight="1">
      <c r="A76" s="319"/>
      <c r="B76" s="388">
        <v>54</v>
      </c>
      <c r="C76" s="389" t="s">
        <v>683</v>
      </c>
      <c r="D76" s="390" t="s">
        <v>541</v>
      </c>
      <c r="E76" s="391">
        <v>55</v>
      </c>
      <c r="F76" s="50"/>
      <c r="G76" s="50"/>
      <c r="H76" s="90">
        <v>0</v>
      </c>
      <c r="I76" s="87">
        <f t="shared" si="5"/>
        <v>0</v>
      </c>
    </row>
    <row r="77" spans="1:9" ht="12" customHeight="1">
      <c r="A77" s="319"/>
      <c r="B77" s="388">
        <v>55</v>
      </c>
      <c r="C77" s="389" t="s">
        <v>684</v>
      </c>
      <c r="D77" s="390" t="s">
        <v>541</v>
      </c>
      <c r="E77" s="391">
        <v>55</v>
      </c>
      <c r="F77" s="50"/>
      <c r="G77" s="50"/>
      <c r="H77" s="90">
        <v>0</v>
      </c>
      <c r="I77" s="87">
        <f t="shared" si="5"/>
        <v>0</v>
      </c>
    </row>
    <row r="78" spans="1:9" ht="12" customHeight="1">
      <c r="A78" s="319"/>
      <c r="B78" s="388">
        <v>56</v>
      </c>
      <c r="C78" s="389" t="s">
        <v>685</v>
      </c>
      <c r="D78" s="390" t="s">
        <v>540</v>
      </c>
      <c r="E78" s="391">
        <v>25</v>
      </c>
      <c r="F78" s="50"/>
      <c r="G78" s="50"/>
      <c r="H78" s="90">
        <v>0</v>
      </c>
      <c r="I78" s="87">
        <f t="shared" si="5"/>
        <v>0</v>
      </c>
    </row>
    <row r="79" spans="1:9" ht="12" customHeight="1">
      <c r="A79" s="319"/>
      <c r="B79" s="388">
        <v>57</v>
      </c>
      <c r="C79" s="389" t="s">
        <v>686</v>
      </c>
      <c r="D79" s="390" t="s">
        <v>540</v>
      </c>
      <c r="E79" s="391">
        <v>50</v>
      </c>
      <c r="F79" s="50"/>
      <c r="G79" s="50"/>
      <c r="H79" s="90">
        <v>0</v>
      </c>
      <c r="I79" s="87">
        <f t="shared" si="5"/>
        <v>0</v>
      </c>
    </row>
    <row r="80" spans="1:9" ht="12" customHeight="1">
      <c r="A80" s="319"/>
      <c r="B80" s="388">
        <v>58</v>
      </c>
      <c r="C80" s="389" t="s">
        <v>687</v>
      </c>
      <c r="D80" s="390" t="s">
        <v>539</v>
      </c>
      <c r="E80" s="391">
        <v>2</v>
      </c>
      <c r="F80" s="50"/>
      <c r="G80" s="50"/>
      <c r="H80" s="90">
        <v>0</v>
      </c>
      <c r="I80" s="87">
        <f t="shared" si="5"/>
        <v>0</v>
      </c>
    </row>
    <row r="81" spans="2:9" ht="12.75">
      <c r="B81" s="392"/>
      <c r="C81" s="377" t="s">
        <v>688</v>
      </c>
      <c r="D81" s="393"/>
      <c r="E81" s="394"/>
      <c r="F81" s="395"/>
      <c r="G81" s="396"/>
      <c r="H81" s="49"/>
      <c r="I81" s="397">
        <f>H85</f>
        <v>0</v>
      </c>
    </row>
    <row r="82" spans="2:9" ht="12.75">
      <c r="B82" s="398">
        <v>59</v>
      </c>
      <c r="C82" s="399" t="s">
        <v>689</v>
      </c>
      <c r="D82" s="391" t="s">
        <v>630</v>
      </c>
      <c r="E82" s="391">
        <v>1</v>
      </c>
      <c r="F82" s="89">
        <v>0</v>
      </c>
      <c r="G82" s="400">
        <f>E82*F82</f>
        <v>0</v>
      </c>
      <c r="H82" s="89">
        <v>0</v>
      </c>
      <c r="I82" s="401">
        <f>E82*H82</f>
        <v>0</v>
      </c>
    </row>
    <row r="83" spans="2:9" ht="12.75">
      <c r="B83" s="398">
        <v>60</v>
      </c>
      <c r="C83" s="399" t="s">
        <v>690</v>
      </c>
      <c r="D83" s="402" t="s">
        <v>691</v>
      </c>
      <c r="E83" s="391">
        <v>1</v>
      </c>
      <c r="F83" s="89">
        <v>0</v>
      </c>
      <c r="G83" s="400">
        <f>E83*F83</f>
        <v>0</v>
      </c>
      <c r="H83" s="90">
        <v>0</v>
      </c>
      <c r="I83" s="401">
        <f>E83*H83</f>
        <v>0</v>
      </c>
    </row>
    <row r="84" spans="2:9" ht="12.75">
      <c r="B84" s="398"/>
      <c r="C84" s="399" t="s">
        <v>692</v>
      </c>
      <c r="D84" s="402"/>
      <c r="E84" s="391"/>
      <c r="F84" s="403"/>
      <c r="G84" s="400">
        <f>SUM(G82:G83)</f>
        <v>0</v>
      </c>
      <c r="H84" s="400"/>
      <c r="I84" s="401">
        <f>SUM(I82:I83)</f>
        <v>0</v>
      </c>
    </row>
    <row r="85" spans="2:9" ht="12.75">
      <c r="B85" s="404"/>
      <c r="C85" s="405" t="s">
        <v>680</v>
      </c>
      <c r="D85" s="406"/>
      <c r="E85" s="407"/>
      <c r="F85" s="408"/>
      <c r="G85" s="409"/>
      <c r="H85" s="409">
        <f>G84+I84</f>
        <v>0</v>
      </c>
      <c r="I85" s="401"/>
    </row>
    <row r="86" spans="1:9" ht="12.75">
      <c r="A86" s="410"/>
      <c r="B86" s="392"/>
      <c r="C86" s="377" t="s">
        <v>693</v>
      </c>
      <c r="D86" s="393"/>
      <c r="E86" s="394"/>
      <c r="F86" s="395"/>
      <c r="G86" s="396"/>
      <c r="H86" s="49"/>
      <c r="I86" s="397">
        <f>H95</f>
        <v>0</v>
      </c>
    </row>
    <row r="87" spans="2:9" ht="12.75">
      <c r="B87" s="398">
        <v>61</v>
      </c>
      <c r="C87" s="399" t="s">
        <v>694</v>
      </c>
      <c r="D87" s="402" t="s">
        <v>630</v>
      </c>
      <c r="E87" s="391">
        <v>1</v>
      </c>
      <c r="F87" s="89">
        <v>0</v>
      </c>
      <c r="G87" s="400">
        <f aca="true" t="shared" si="6" ref="G87:G93">E87*F87</f>
        <v>0</v>
      </c>
      <c r="H87" s="89">
        <v>0</v>
      </c>
      <c r="I87" s="401">
        <f aca="true" t="shared" si="7" ref="I87:I93">E87*H87</f>
        <v>0</v>
      </c>
    </row>
    <row r="88" spans="2:9" ht="12.75">
      <c r="B88" s="398">
        <v>62</v>
      </c>
      <c r="C88" s="399" t="s">
        <v>695</v>
      </c>
      <c r="D88" s="402" t="s">
        <v>630</v>
      </c>
      <c r="E88" s="391">
        <v>2</v>
      </c>
      <c r="F88" s="89">
        <v>0</v>
      </c>
      <c r="G88" s="400">
        <f t="shared" si="6"/>
        <v>0</v>
      </c>
      <c r="H88" s="89">
        <v>0</v>
      </c>
      <c r="I88" s="401">
        <f t="shared" si="7"/>
        <v>0</v>
      </c>
    </row>
    <row r="89" spans="2:9" ht="12.75">
      <c r="B89" s="398">
        <v>63</v>
      </c>
      <c r="C89" s="399" t="s">
        <v>696</v>
      </c>
      <c r="D89" s="402" t="s">
        <v>630</v>
      </c>
      <c r="E89" s="391">
        <v>2</v>
      </c>
      <c r="F89" s="89">
        <v>0</v>
      </c>
      <c r="G89" s="400">
        <f t="shared" si="6"/>
        <v>0</v>
      </c>
      <c r="H89" s="89">
        <v>0</v>
      </c>
      <c r="I89" s="401">
        <f t="shared" si="7"/>
        <v>0</v>
      </c>
    </row>
    <row r="90" spans="2:9" ht="12.75">
      <c r="B90" s="398">
        <v>64</v>
      </c>
      <c r="C90" s="399" t="s">
        <v>697</v>
      </c>
      <c r="D90" s="402" t="s">
        <v>630</v>
      </c>
      <c r="E90" s="391">
        <v>1</v>
      </c>
      <c r="F90" s="89">
        <v>0</v>
      </c>
      <c r="G90" s="400">
        <f t="shared" si="6"/>
        <v>0</v>
      </c>
      <c r="H90" s="89">
        <v>0</v>
      </c>
      <c r="I90" s="401">
        <f t="shared" si="7"/>
        <v>0</v>
      </c>
    </row>
    <row r="91" spans="2:9" ht="12.75">
      <c r="B91" s="398">
        <v>65</v>
      </c>
      <c r="C91" s="399" t="s">
        <v>698</v>
      </c>
      <c r="D91" s="402" t="s">
        <v>630</v>
      </c>
      <c r="E91" s="391">
        <v>1</v>
      </c>
      <c r="F91" s="89">
        <v>0</v>
      </c>
      <c r="G91" s="400">
        <f t="shared" si="6"/>
        <v>0</v>
      </c>
      <c r="H91" s="89">
        <v>0</v>
      </c>
      <c r="I91" s="401">
        <f t="shared" si="7"/>
        <v>0</v>
      </c>
    </row>
    <row r="92" spans="2:9" ht="12.75">
      <c r="B92" s="398">
        <v>66</v>
      </c>
      <c r="C92" s="411" t="s">
        <v>699</v>
      </c>
      <c r="D92" s="402" t="s">
        <v>630</v>
      </c>
      <c r="E92" s="391">
        <v>2</v>
      </c>
      <c r="F92" s="89">
        <v>0</v>
      </c>
      <c r="G92" s="400">
        <f t="shared" si="6"/>
        <v>0</v>
      </c>
      <c r="H92" s="89">
        <v>0</v>
      </c>
      <c r="I92" s="401">
        <f t="shared" si="7"/>
        <v>0</v>
      </c>
    </row>
    <row r="93" spans="2:9" ht="12.75">
      <c r="B93" s="398">
        <v>67</v>
      </c>
      <c r="C93" s="399" t="s">
        <v>690</v>
      </c>
      <c r="D93" s="402" t="s">
        <v>691</v>
      </c>
      <c r="E93" s="391">
        <v>1</v>
      </c>
      <c r="F93" s="89">
        <v>0</v>
      </c>
      <c r="G93" s="400">
        <f t="shared" si="6"/>
        <v>0</v>
      </c>
      <c r="H93" s="89">
        <v>0</v>
      </c>
      <c r="I93" s="401">
        <f t="shared" si="7"/>
        <v>0</v>
      </c>
    </row>
    <row r="94" spans="2:9" ht="12.75">
      <c r="B94" s="398"/>
      <c r="C94" s="399" t="s">
        <v>692</v>
      </c>
      <c r="D94" s="402"/>
      <c r="E94" s="391"/>
      <c r="F94" s="50"/>
      <c r="G94" s="400">
        <f>SUM(G87:G93)</f>
        <v>0</v>
      </c>
      <c r="H94" s="400"/>
      <c r="I94" s="401">
        <f>SUM(I87:I93)</f>
        <v>0</v>
      </c>
    </row>
    <row r="95" spans="2:9" ht="13.5" thickBot="1">
      <c r="B95" s="412"/>
      <c r="C95" s="413" t="s">
        <v>680</v>
      </c>
      <c r="D95" s="414"/>
      <c r="E95" s="415"/>
      <c r="F95" s="416"/>
      <c r="G95" s="417"/>
      <c r="H95" s="417">
        <f>G94+I94</f>
        <v>0</v>
      </c>
      <c r="I95" s="418"/>
    </row>
    <row r="96" spans="2:9" ht="12.75">
      <c r="B96" s="419"/>
      <c r="C96" s="419"/>
      <c r="D96" s="419"/>
      <c r="E96" s="419"/>
      <c r="F96" s="419"/>
      <c r="G96" s="419"/>
      <c r="H96" s="419"/>
      <c r="I96" s="419"/>
    </row>
    <row r="97" spans="2:9" ht="12.75">
      <c r="B97" s="419"/>
      <c r="C97" s="419"/>
      <c r="D97" s="419"/>
      <c r="E97" s="419"/>
      <c r="F97" s="419"/>
      <c r="G97" s="419"/>
      <c r="H97" s="419"/>
      <c r="I97" s="419"/>
    </row>
    <row r="98" spans="2:9" ht="12.75">
      <c r="B98" s="420"/>
      <c r="C98" s="420"/>
      <c r="D98" s="420"/>
      <c r="E98" s="420"/>
      <c r="F98" s="420"/>
      <c r="G98" s="420"/>
      <c r="H98" s="420"/>
      <c r="I98" s="420"/>
    </row>
    <row r="99" spans="2:9" ht="12.75">
      <c r="B99" s="420"/>
      <c r="C99" s="420"/>
      <c r="D99" s="420"/>
      <c r="E99" s="420"/>
      <c r="F99" s="420"/>
      <c r="G99" s="420"/>
      <c r="H99" s="420"/>
      <c r="I99" s="420"/>
    </row>
    <row r="100" spans="2:9" ht="12.75">
      <c r="B100" s="420"/>
      <c r="C100" s="420"/>
      <c r="D100" s="420"/>
      <c r="E100" s="420"/>
      <c r="F100" s="420"/>
      <c r="G100" s="420"/>
      <c r="H100" s="420"/>
      <c r="I100" s="420"/>
    </row>
    <row r="101" spans="2:9" ht="12.75">
      <c r="B101" s="420"/>
      <c r="C101" s="420"/>
      <c r="D101" s="420"/>
      <c r="E101" s="420"/>
      <c r="F101" s="420"/>
      <c r="G101" s="420"/>
      <c r="H101" s="420"/>
      <c r="I101" s="420"/>
    </row>
    <row r="102" spans="2:9" ht="12.75">
      <c r="B102" s="420"/>
      <c r="C102" s="420"/>
      <c r="D102" s="420"/>
      <c r="E102" s="420"/>
      <c r="F102" s="420"/>
      <c r="G102" s="420"/>
      <c r="H102" s="420"/>
      <c r="I102" s="420"/>
    </row>
    <row r="103" spans="2:9" ht="12.75">
      <c r="B103" s="420"/>
      <c r="C103" s="420"/>
      <c r="D103" s="420"/>
      <c r="E103" s="420"/>
      <c r="F103" s="420"/>
      <c r="G103" s="420"/>
      <c r="H103" s="420"/>
      <c r="I103" s="420"/>
    </row>
    <row r="104" spans="2:9" ht="12.75">
      <c r="B104" s="420"/>
      <c r="C104" s="420"/>
      <c r="D104" s="420"/>
      <c r="E104" s="420"/>
      <c r="F104" s="420"/>
      <c r="G104" s="420"/>
      <c r="H104" s="420"/>
      <c r="I104" s="420"/>
    </row>
    <row r="105" spans="2:9" ht="12.75">
      <c r="B105" s="420"/>
      <c r="C105" s="420"/>
      <c r="D105" s="420"/>
      <c r="E105" s="420"/>
      <c r="F105" s="420"/>
      <c r="G105" s="420"/>
      <c r="H105" s="420"/>
      <c r="I105" s="420"/>
    </row>
    <row r="106" spans="2:9" ht="12.75">
      <c r="B106" s="420"/>
      <c r="C106" s="420"/>
      <c r="D106" s="420"/>
      <c r="E106" s="420"/>
      <c r="F106" s="420"/>
      <c r="G106" s="420"/>
      <c r="H106" s="420"/>
      <c r="I106" s="420"/>
    </row>
    <row r="107" spans="2:9" ht="12.75">
      <c r="B107" s="420"/>
      <c r="C107" s="420"/>
      <c r="D107" s="420"/>
      <c r="E107" s="420"/>
      <c r="F107" s="420"/>
      <c r="G107" s="420"/>
      <c r="H107" s="420"/>
      <c r="I107" s="420"/>
    </row>
    <row r="108" spans="2:9" ht="12.75">
      <c r="B108" s="420"/>
      <c r="C108" s="420"/>
      <c r="D108" s="420"/>
      <c r="E108" s="420"/>
      <c r="F108" s="420"/>
      <c r="G108" s="420"/>
      <c r="H108" s="420"/>
      <c r="I108" s="420"/>
    </row>
    <row r="109" spans="2:9" ht="12.75">
      <c r="B109" s="420"/>
      <c r="C109" s="420"/>
      <c r="D109" s="420"/>
      <c r="E109" s="420"/>
      <c r="F109" s="420"/>
      <c r="G109" s="420"/>
      <c r="H109" s="420"/>
      <c r="I109" s="420"/>
    </row>
    <row r="110" spans="2:9" ht="12.75">
      <c r="B110" s="420"/>
      <c r="C110" s="420"/>
      <c r="D110" s="420"/>
      <c r="E110" s="420"/>
      <c r="F110" s="420"/>
      <c r="G110" s="420"/>
      <c r="H110" s="420"/>
      <c r="I110" s="420"/>
    </row>
    <row r="111" spans="2:9" ht="12.75">
      <c r="B111" s="420"/>
      <c r="C111" s="420"/>
      <c r="D111" s="420"/>
      <c r="E111" s="420"/>
      <c r="F111" s="420"/>
      <c r="G111" s="420"/>
      <c r="H111" s="420"/>
      <c r="I111" s="420"/>
    </row>
    <row r="112" spans="2:9" ht="12.75">
      <c r="B112" s="420"/>
      <c r="C112" s="420"/>
      <c r="D112" s="420"/>
      <c r="E112" s="420"/>
      <c r="F112" s="420"/>
      <c r="G112" s="420"/>
      <c r="H112" s="420"/>
      <c r="I112" s="420"/>
    </row>
    <row r="113" spans="2:9" ht="12.75">
      <c r="B113" s="420"/>
      <c r="C113" s="420"/>
      <c r="D113" s="420"/>
      <c r="E113" s="420"/>
      <c r="F113" s="420"/>
      <c r="G113" s="420"/>
      <c r="H113" s="420"/>
      <c r="I113" s="420"/>
    </row>
    <row r="114" spans="2:9" ht="12.75">
      <c r="B114" s="420"/>
      <c r="C114" s="420"/>
      <c r="D114" s="420"/>
      <c r="E114" s="420"/>
      <c r="F114" s="420"/>
      <c r="G114" s="420"/>
      <c r="H114" s="420"/>
      <c r="I114" s="420"/>
    </row>
    <row r="115" spans="2:9" ht="12.75">
      <c r="B115" s="420"/>
      <c r="C115" s="420"/>
      <c r="D115" s="420"/>
      <c r="E115" s="420"/>
      <c r="F115" s="420"/>
      <c r="G115" s="420"/>
      <c r="H115" s="420"/>
      <c r="I115" s="420"/>
    </row>
    <row r="116" spans="2:9" ht="12.75">
      <c r="B116" s="420"/>
      <c r="C116" s="420"/>
      <c r="D116" s="420"/>
      <c r="E116" s="420"/>
      <c r="F116" s="420"/>
      <c r="G116" s="420"/>
      <c r="H116" s="420"/>
      <c r="I116" s="420"/>
    </row>
    <row r="117" spans="2:9" ht="12.75">
      <c r="B117" s="420"/>
      <c r="C117" s="420"/>
      <c r="D117" s="420"/>
      <c r="E117" s="420"/>
      <c r="F117" s="420"/>
      <c r="G117" s="420"/>
      <c r="H117" s="420"/>
      <c r="I117" s="420"/>
    </row>
    <row r="118" spans="2:9" ht="12.75">
      <c r="B118" s="420"/>
      <c r="C118" s="420"/>
      <c r="D118" s="420"/>
      <c r="E118" s="420"/>
      <c r="F118" s="420"/>
      <c r="G118" s="420"/>
      <c r="H118" s="420"/>
      <c r="I118" s="420"/>
    </row>
    <row r="119" spans="2:9" ht="12.75">
      <c r="B119" s="420"/>
      <c r="C119" s="420"/>
      <c r="D119" s="420"/>
      <c r="E119" s="420"/>
      <c r="F119" s="420"/>
      <c r="G119" s="420"/>
      <c r="H119" s="420"/>
      <c r="I119" s="420"/>
    </row>
    <row r="120" spans="2:9" ht="12.75">
      <c r="B120" s="420"/>
      <c r="C120" s="420"/>
      <c r="D120" s="420"/>
      <c r="E120" s="420"/>
      <c r="F120" s="420"/>
      <c r="G120" s="420"/>
      <c r="H120" s="420"/>
      <c r="I120" s="420"/>
    </row>
    <row r="121" spans="2:9" ht="12.75">
      <c r="B121" s="420"/>
      <c r="C121" s="420"/>
      <c r="D121" s="420"/>
      <c r="E121" s="420"/>
      <c r="F121" s="420"/>
      <c r="G121" s="420"/>
      <c r="H121" s="420"/>
      <c r="I121" s="420"/>
    </row>
    <row r="122" spans="2:9" ht="12.75">
      <c r="B122" s="420"/>
      <c r="C122" s="420"/>
      <c r="D122" s="420"/>
      <c r="E122" s="420"/>
      <c r="F122" s="420"/>
      <c r="G122" s="420"/>
      <c r="H122" s="420"/>
      <c r="I122" s="420"/>
    </row>
    <row r="123" spans="2:9" ht="12.75">
      <c r="B123" s="420"/>
      <c r="C123" s="420"/>
      <c r="D123" s="420"/>
      <c r="E123" s="420"/>
      <c r="F123" s="420"/>
      <c r="G123" s="420"/>
      <c r="H123" s="420"/>
      <c r="I123" s="420"/>
    </row>
    <row r="124" spans="2:9" ht="12.75">
      <c r="B124" s="420"/>
      <c r="C124" s="420"/>
      <c r="D124" s="420"/>
      <c r="E124" s="420"/>
      <c r="F124" s="420"/>
      <c r="G124" s="420"/>
      <c r="H124" s="420"/>
      <c r="I124" s="420"/>
    </row>
    <row r="125" spans="2:9" ht="12.75">
      <c r="B125" s="420"/>
      <c r="C125" s="420"/>
      <c r="D125" s="420"/>
      <c r="E125" s="420"/>
      <c r="F125" s="420"/>
      <c r="G125" s="420"/>
      <c r="H125" s="420"/>
      <c r="I125" s="420"/>
    </row>
    <row r="126" spans="2:9" ht="12.75">
      <c r="B126" s="420"/>
      <c r="C126" s="420"/>
      <c r="D126" s="420"/>
      <c r="E126" s="420"/>
      <c r="F126" s="420"/>
      <c r="G126" s="420"/>
      <c r="H126" s="420"/>
      <c r="I126" s="420"/>
    </row>
    <row r="127" spans="2:9" ht="12.75">
      <c r="B127" s="420"/>
      <c r="C127" s="420"/>
      <c r="D127" s="420"/>
      <c r="E127" s="420"/>
      <c r="F127" s="420"/>
      <c r="G127" s="420"/>
      <c r="H127" s="420"/>
      <c r="I127" s="420"/>
    </row>
    <row r="128" spans="2:9" ht="12.75">
      <c r="B128" s="420"/>
      <c r="C128" s="420"/>
      <c r="D128" s="420"/>
      <c r="E128" s="420"/>
      <c r="F128" s="420"/>
      <c r="G128" s="420"/>
      <c r="H128" s="420"/>
      <c r="I128" s="420"/>
    </row>
    <row r="129" spans="2:9" ht="12.75">
      <c r="B129" s="420"/>
      <c r="C129" s="420"/>
      <c r="D129" s="420"/>
      <c r="E129" s="420"/>
      <c r="F129" s="420"/>
      <c r="G129" s="420"/>
      <c r="H129" s="420"/>
      <c r="I129" s="420"/>
    </row>
    <row r="130" spans="2:9" ht="12.75">
      <c r="B130" s="420"/>
      <c r="C130" s="420"/>
      <c r="D130" s="420"/>
      <c r="E130" s="420"/>
      <c r="F130" s="420"/>
      <c r="G130" s="420"/>
      <c r="H130" s="420"/>
      <c r="I130" s="420"/>
    </row>
    <row r="131" spans="2:9" ht="12.75">
      <c r="B131" s="420"/>
      <c r="C131" s="420"/>
      <c r="D131" s="420"/>
      <c r="E131" s="420"/>
      <c r="F131" s="420"/>
      <c r="G131" s="420"/>
      <c r="H131" s="420"/>
      <c r="I131" s="420"/>
    </row>
    <row r="132" spans="2:9" ht="12.75">
      <c r="B132" s="420"/>
      <c r="C132" s="420"/>
      <c r="D132" s="420"/>
      <c r="E132" s="420"/>
      <c r="F132" s="420"/>
      <c r="G132" s="420"/>
      <c r="H132" s="420"/>
      <c r="I132" s="420"/>
    </row>
    <row r="133" spans="2:9" ht="12.75">
      <c r="B133" s="420"/>
      <c r="C133" s="420"/>
      <c r="D133" s="420"/>
      <c r="E133" s="420"/>
      <c r="F133" s="420"/>
      <c r="G133" s="420"/>
      <c r="H133" s="420"/>
      <c r="I133" s="420"/>
    </row>
    <row r="134" spans="2:9" ht="12.75">
      <c r="B134" s="420"/>
      <c r="C134" s="420"/>
      <c r="D134" s="420"/>
      <c r="E134" s="420"/>
      <c r="F134" s="420"/>
      <c r="G134" s="420"/>
      <c r="H134" s="420"/>
      <c r="I134" s="420"/>
    </row>
    <row r="135" spans="2:9" ht="12.75">
      <c r="B135" s="420"/>
      <c r="C135" s="420"/>
      <c r="D135" s="420"/>
      <c r="E135" s="420"/>
      <c r="F135" s="420"/>
      <c r="G135" s="420"/>
      <c r="H135" s="420"/>
      <c r="I135" s="420"/>
    </row>
    <row r="136" spans="2:9" ht="12.75">
      <c r="B136" s="420"/>
      <c r="C136" s="420"/>
      <c r="D136" s="420"/>
      <c r="E136" s="420"/>
      <c r="F136" s="420"/>
      <c r="G136" s="420"/>
      <c r="H136" s="420"/>
      <c r="I136" s="420"/>
    </row>
    <row r="137" spans="2:9" ht="12.75">
      <c r="B137" s="420"/>
      <c r="C137" s="420"/>
      <c r="D137" s="420"/>
      <c r="E137" s="420"/>
      <c r="F137" s="420"/>
      <c r="G137" s="420"/>
      <c r="H137" s="420"/>
      <c r="I137" s="420"/>
    </row>
    <row r="138" spans="2:9" ht="12.75">
      <c r="B138" s="420"/>
      <c r="C138" s="420"/>
      <c r="D138" s="420"/>
      <c r="E138" s="420"/>
      <c r="F138" s="420"/>
      <c r="G138" s="420"/>
      <c r="H138" s="420"/>
      <c r="I138" s="420"/>
    </row>
    <row r="139" spans="2:9" ht="12.75">
      <c r="B139" s="420"/>
      <c r="C139" s="420"/>
      <c r="D139" s="420"/>
      <c r="E139" s="420"/>
      <c r="F139" s="420"/>
      <c r="G139" s="420"/>
      <c r="H139" s="420"/>
      <c r="I139" s="420"/>
    </row>
    <row r="140" spans="2:9" ht="12.75">
      <c r="B140" s="420"/>
      <c r="C140" s="420"/>
      <c r="D140" s="420"/>
      <c r="E140" s="420"/>
      <c r="F140" s="420"/>
      <c r="G140" s="420"/>
      <c r="H140" s="420"/>
      <c r="I140" s="420"/>
    </row>
    <row r="141" spans="2:9" ht="12.75">
      <c r="B141" s="420"/>
      <c r="C141" s="420"/>
      <c r="D141" s="420"/>
      <c r="E141" s="420"/>
      <c r="F141" s="420"/>
      <c r="G141" s="420"/>
      <c r="H141" s="420"/>
      <c r="I141" s="420"/>
    </row>
    <row r="142" spans="2:9" ht="12.75">
      <c r="B142" s="420"/>
      <c r="C142" s="420"/>
      <c r="D142" s="420"/>
      <c r="E142" s="420"/>
      <c r="F142" s="420"/>
      <c r="G142" s="420"/>
      <c r="H142" s="420"/>
      <c r="I142" s="420"/>
    </row>
    <row r="143" spans="2:9" ht="12.75">
      <c r="B143" s="420"/>
      <c r="C143" s="420"/>
      <c r="D143" s="420"/>
      <c r="E143" s="420"/>
      <c r="F143" s="420"/>
      <c r="G143" s="420"/>
      <c r="H143" s="420"/>
      <c r="I143" s="420"/>
    </row>
    <row r="144" spans="2:9" ht="12.75">
      <c r="B144" s="420"/>
      <c r="C144" s="420"/>
      <c r="D144" s="420"/>
      <c r="E144" s="420"/>
      <c r="F144" s="420"/>
      <c r="G144" s="420"/>
      <c r="H144" s="420"/>
      <c r="I144" s="420"/>
    </row>
    <row r="145" spans="2:9" ht="12.75">
      <c r="B145" s="420"/>
      <c r="C145" s="420"/>
      <c r="D145" s="420"/>
      <c r="E145" s="420"/>
      <c r="F145" s="420"/>
      <c r="G145" s="420"/>
      <c r="H145" s="420"/>
      <c r="I145" s="420"/>
    </row>
    <row r="146" spans="2:9" ht="12.75">
      <c r="B146" s="420"/>
      <c r="C146" s="420"/>
      <c r="D146" s="420"/>
      <c r="E146" s="420"/>
      <c r="F146" s="420"/>
      <c r="G146" s="420"/>
      <c r="H146" s="420"/>
      <c r="I146" s="420"/>
    </row>
    <row r="147" spans="2:9" ht="12.75">
      <c r="B147" s="420"/>
      <c r="C147" s="420"/>
      <c r="D147" s="420"/>
      <c r="E147" s="420"/>
      <c r="F147" s="420"/>
      <c r="G147" s="420"/>
      <c r="H147" s="420"/>
      <c r="I147" s="420"/>
    </row>
    <row r="148" spans="2:9" ht="12.75">
      <c r="B148" s="420"/>
      <c r="C148" s="420"/>
      <c r="D148" s="420"/>
      <c r="E148" s="420"/>
      <c r="F148" s="420"/>
      <c r="G148" s="420"/>
      <c r="H148" s="420"/>
      <c r="I148" s="420"/>
    </row>
    <row r="149" spans="2:9" ht="12.75">
      <c r="B149" s="420"/>
      <c r="C149" s="420"/>
      <c r="D149" s="420"/>
      <c r="E149" s="420"/>
      <c r="F149" s="420"/>
      <c r="G149" s="420"/>
      <c r="H149" s="420"/>
      <c r="I149" s="420"/>
    </row>
    <row r="150" spans="2:9" ht="12.75">
      <c r="B150" s="420"/>
      <c r="C150" s="420"/>
      <c r="D150" s="420"/>
      <c r="E150" s="420"/>
      <c r="F150" s="420"/>
      <c r="G150" s="420"/>
      <c r="H150" s="420"/>
      <c r="I150" s="420"/>
    </row>
    <row r="151" spans="2:9" ht="12.75">
      <c r="B151" s="420"/>
      <c r="C151" s="420"/>
      <c r="D151" s="420"/>
      <c r="E151" s="420"/>
      <c r="F151" s="420"/>
      <c r="G151" s="420"/>
      <c r="H151" s="420"/>
      <c r="I151" s="420"/>
    </row>
    <row r="152" spans="2:9" ht="12.75">
      <c r="B152" s="420"/>
      <c r="C152" s="420"/>
      <c r="D152" s="420"/>
      <c r="E152" s="420"/>
      <c r="F152" s="420"/>
      <c r="G152" s="420"/>
      <c r="H152" s="420"/>
      <c r="I152" s="420"/>
    </row>
    <row r="153" spans="2:9" ht="12.75">
      <c r="B153" s="420"/>
      <c r="C153" s="420"/>
      <c r="D153" s="420"/>
      <c r="E153" s="420"/>
      <c r="F153" s="420"/>
      <c r="G153" s="420"/>
      <c r="H153" s="420"/>
      <c r="I153" s="420"/>
    </row>
    <row r="154" spans="2:9" ht="12.75">
      <c r="B154" s="420"/>
      <c r="C154" s="420"/>
      <c r="D154" s="420"/>
      <c r="E154" s="420"/>
      <c r="F154" s="420"/>
      <c r="G154" s="420"/>
      <c r="H154" s="420"/>
      <c r="I154" s="420"/>
    </row>
    <row r="155" spans="2:9" ht="12.75">
      <c r="B155" s="420"/>
      <c r="C155" s="420"/>
      <c r="D155" s="420"/>
      <c r="E155" s="420"/>
      <c r="F155" s="420"/>
      <c r="G155" s="420"/>
      <c r="H155" s="420"/>
      <c r="I155" s="420"/>
    </row>
    <row r="156" spans="2:9" ht="12.75">
      <c r="B156" s="420"/>
      <c r="C156" s="420"/>
      <c r="D156" s="420"/>
      <c r="E156" s="420"/>
      <c r="F156" s="420"/>
      <c r="G156" s="420"/>
      <c r="H156" s="420"/>
      <c r="I156" s="420"/>
    </row>
    <row r="157" spans="2:9" ht="12.75">
      <c r="B157" s="420"/>
      <c r="C157" s="420"/>
      <c r="D157" s="420"/>
      <c r="E157" s="420"/>
      <c r="F157" s="420"/>
      <c r="G157" s="420"/>
      <c r="H157" s="420"/>
      <c r="I157" s="420"/>
    </row>
    <row r="158" spans="2:9" ht="12.75">
      <c r="B158" s="420"/>
      <c r="C158" s="420"/>
      <c r="D158" s="420"/>
      <c r="E158" s="420"/>
      <c r="F158" s="420"/>
      <c r="G158" s="420"/>
      <c r="H158" s="420"/>
      <c r="I158" s="420"/>
    </row>
    <row r="159" spans="2:9" ht="12.75">
      <c r="B159" s="420"/>
      <c r="C159" s="420"/>
      <c r="D159" s="420"/>
      <c r="E159" s="420"/>
      <c r="F159" s="420"/>
      <c r="G159" s="420"/>
      <c r="H159" s="420"/>
      <c r="I159" s="420"/>
    </row>
    <row r="160" spans="2:9" ht="12.75">
      <c r="B160" s="420"/>
      <c r="C160" s="420"/>
      <c r="D160" s="420"/>
      <c r="E160" s="420"/>
      <c r="F160" s="420"/>
      <c r="G160" s="420"/>
      <c r="H160" s="420"/>
      <c r="I160" s="420"/>
    </row>
    <row r="161" spans="2:9" ht="12.75">
      <c r="B161" s="420"/>
      <c r="C161" s="420"/>
      <c r="D161" s="420"/>
      <c r="E161" s="420"/>
      <c r="F161" s="420"/>
      <c r="G161" s="420"/>
      <c r="H161" s="420"/>
      <c r="I161" s="420"/>
    </row>
    <row r="162" spans="2:9" ht="12.75">
      <c r="B162" s="420"/>
      <c r="C162" s="420"/>
      <c r="D162" s="420"/>
      <c r="E162" s="420"/>
      <c r="F162" s="420"/>
      <c r="G162" s="420"/>
      <c r="H162" s="420"/>
      <c r="I162" s="420"/>
    </row>
    <row r="163" spans="2:9" ht="12.75">
      <c r="B163" s="420"/>
      <c r="C163" s="420"/>
      <c r="D163" s="420"/>
      <c r="E163" s="420"/>
      <c r="F163" s="420"/>
      <c r="G163" s="420"/>
      <c r="H163" s="420"/>
      <c r="I163" s="420"/>
    </row>
    <row r="164" spans="2:9" ht="12.75">
      <c r="B164" s="420"/>
      <c r="C164" s="420"/>
      <c r="D164" s="420"/>
      <c r="E164" s="420"/>
      <c r="F164" s="420"/>
      <c r="G164" s="420"/>
      <c r="H164" s="420"/>
      <c r="I164" s="420"/>
    </row>
    <row r="165" spans="2:9" ht="12.75">
      <c r="B165" s="420"/>
      <c r="C165" s="420"/>
      <c r="D165" s="420"/>
      <c r="E165" s="420"/>
      <c r="F165" s="420"/>
      <c r="G165" s="420"/>
      <c r="H165" s="420"/>
      <c r="I165" s="420"/>
    </row>
    <row r="166" spans="2:9" ht="12.75">
      <c r="B166" s="420"/>
      <c r="C166" s="420"/>
      <c r="D166" s="420"/>
      <c r="E166" s="420"/>
      <c r="F166" s="420"/>
      <c r="G166" s="420"/>
      <c r="H166" s="420"/>
      <c r="I166" s="420"/>
    </row>
    <row r="167" spans="2:9" ht="12.75">
      <c r="B167" s="420"/>
      <c r="C167" s="420"/>
      <c r="D167" s="420"/>
      <c r="E167" s="420"/>
      <c r="F167" s="420"/>
      <c r="G167" s="420"/>
      <c r="H167" s="420"/>
      <c r="I167" s="420"/>
    </row>
    <row r="168" spans="2:9" ht="12.75">
      <c r="B168" s="420"/>
      <c r="C168" s="420"/>
      <c r="D168" s="420"/>
      <c r="E168" s="420"/>
      <c r="F168" s="420"/>
      <c r="G168" s="420"/>
      <c r="H168" s="420"/>
      <c r="I168" s="420"/>
    </row>
    <row r="169" spans="2:9" ht="12.75">
      <c r="B169" s="420"/>
      <c r="C169" s="420"/>
      <c r="D169" s="420"/>
      <c r="E169" s="420"/>
      <c r="F169" s="420"/>
      <c r="G169" s="420"/>
      <c r="H169" s="420"/>
      <c r="I169" s="420"/>
    </row>
    <row r="170" spans="2:9" ht="12.75">
      <c r="B170" s="420"/>
      <c r="C170" s="420"/>
      <c r="D170" s="420"/>
      <c r="E170" s="420"/>
      <c r="F170" s="420"/>
      <c r="G170" s="420"/>
      <c r="H170" s="420"/>
      <c r="I170" s="420"/>
    </row>
    <row r="171" spans="2:9" ht="12.75">
      <c r="B171" s="420"/>
      <c r="C171" s="420"/>
      <c r="D171" s="420"/>
      <c r="E171" s="420"/>
      <c r="F171" s="420"/>
      <c r="G171" s="420"/>
      <c r="H171" s="420"/>
      <c r="I171" s="420"/>
    </row>
    <row r="172" spans="2:9" ht="12.75">
      <c r="B172" s="420"/>
      <c r="C172" s="420"/>
      <c r="D172" s="420"/>
      <c r="E172" s="420"/>
      <c r="F172" s="420"/>
      <c r="G172" s="420"/>
      <c r="H172" s="420"/>
      <c r="I172" s="420"/>
    </row>
    <row r="173" spans="2:9" ht="12.75">
      <c r="B173" s="420"/>
      <c r="C173" s="420"/>
      <c r="D173" s="420"/>
      <c r="E173" s="420"/>
      <c r="F173" s="420"/>
      <c r="G173" s="420"/>
      <c r="H173" s="420"/>
      <c r="I173" s="420"/>
    </row>
    <row r="174" spans="2:9" ht="12.75">
      <c r="B174" s="420"/>
      <c r="C174" s="420"/>
      <c r="D174" s="420"/>
      <c r="E174" s="420"/>
      <c r="F174" s="420"/>
      <c r="G174" s="420"/>
      <c r="H174" s="420"/>
      <c r="I174" s="420"/>
    </row>
    <row r="175" spans="2:9" ht="12.75">
      <c r="B175" s="420"/>
      <c r="C175" s="420"/>
      <c r="D175" s="420"/>
      <c r="E175" s="420"/>
      <c r="F175" s="420"/>
      <c r="G175" s="420"/>
      <c r="H175" s="420"/>
      <c r="I175" s="420"/>
    </row>
    <row r="176" spans="2:9" ht="12.75">
      <c r="B176" s="420"/>
      <c r="C176" s="420"/>
      <c r="D176" s="420"/>
      <c r="E176" s="420"/>
      <c r="F176" s="420"/>
      <c r="G176" s="420"/>
      <c r="H176" s="420"/>
      <c r="I176" s="420"/>
    </row>
    <row r="177" spans="2:9" ht="12.75">
      <c r="B177" s="420"/>
      <c r="C177" s="420"/>
      <c r="D177" s="420"/>
      <c r="E177" s="420"/>
      <c r="F177" s="420"/>
      <c r="G177" s="420"/>
      <c r="H177" s="420"/>
      <c r="I177" s="420"/>
    </row>
    <row r="178" spans="2:9" ht="12.75">
      <c r="B178" s="420"/>
      <c r="C178" s="420"/>
      <c r="D178" s="420"/>
      <c r="E178" s="420"/>
      <c r="F178" s="420"/>
      <c r="G178" s="420"/>
      <c r="H178" s="420"/>
      <c r="I178" s="420"/>
    </row>
    <row r="179" spans="2:9" ht="12.75">
      <c r="B179" s="420"/>
      <c r="C179" s="420"/>
      <c r="D179" s="420"/>
      <c r="E179" s="420"/>
      <c r="F179" s="420"/>
      <c r="G179" s="420"/>
      <c r="H179" s="420"/>
      <c r="I179" s="420"/>
    </row>
    <row r="180" spans="2:9" ht="12.75">
      <c r="B180" s="420"/>
      <c r="C180" s="420"/>
      <c r="D180" s="420"/>
      <c r="E180" s="420"/>
      <c r="F180" s="420"/>
      <c r="G180" s="420"/>
      <c r="H180" s="420"/>
      <c r="I180" s="420"/>
    </row>
    <row r="181" spans="2:9" ht="12.75">
      <c r="B181" s="420"/>
      <c r="C181" s="420"/>
      <c r="D181" s="420"/>
      <c r="E181" s="420"/>
      <c r="F181" s="420"/>
      <c r="G181" s="420"/>
      <c r="H181" s="420"/>
      <c r="I181" s="420"/>
    </row>
    <row r="182" spans="2:9" ht="12.75">
      <c r="B182" s="420"/>
      <c r="C182" s="420"/>
      <c r="D182" s="420"/>
      <c r="E182" s="420"/>
      <c r="F182" s="420"/>
      <c r="G182" s="420"/>
      <c r="H182" s="420"/>
      <c r="I182" s="420"/>
    </row>
    <row r="183" spans="2:9" ht="12.75">
      <c r="B183" s="420"/>
      <c r="C183" s="420"/>
      <c r="D183" s="420"/>
      <c r="E183" s="420"/>
      <c r="F183" s="420"/>
      <c r="G183" s="420"/>
      <c r="H183" s="420"/>
      <c r="I183" s="420"/>
    </row>
    <row r="184" spans="2:9" ht="12.75">
      <c r="B184" s="420"/>
      <c r="C184" s="420"/>
      <c r="D184" s="420"/>
      <c r="E184" s="420"/>
      <c r="F184" s="420"/>
      <c r="G184" s="420"/>
      <c r="H184" s="420"/>
      <c r="I184" s="420"/>
    </row>
    <row r="185" spans="2:9" ht="12.75">
      <c r="B185" s="420"/>
      <c r="C185" s="420"/>
      <c r="D185" s="420"/>
      <c r="E185" s="420"/>
      <c r="F185" s="420"/>
      <c r="G185" s="420"/>
      <c r="H185" s="420"/>
      <c r="I185" s="420"/>
    </row>
    <row r="186" spans="2:9" ht="12.75">
      <c r="B186" s="420"/>
      <c r="C186" s="420"/>
      <c r="D186" s="420"/>
      <c r="E186" s="420"/>
      <c r="F186" s="420"/>
      <c r="G186" s="420"/>
      <c r="H186" s="420"/>
      <c r="I186" s="420"/>
    </row>
    <row r="187" spans="2:9" ht="12.75">
      <c r="B187" s="420"/>
      <c r="C187" s="420"/>
      <c r="D187" s="420"/>
      <c r="E187" s="420"/>
      <c r="F187" s="420"/>
      <c r="G187" s="420"/>
      <c r="H187" s="420"/>
      <c r="I187" s="420"/>
    </row>
    <row r="188" spans="2:9" ht="12.75">
      <c r="B188" s="420"/>
      <c r="C188" s="420"/>
      <c r="D188" s="420"/>
      <c r="E188" s="420"/>
      <c r="F188" s="420"/>
      <c r="G188" s="420"/>
      <c r="H188" s="420"/>
      <c r="I188" s="420"/>
    </row>
    <row r="189" spans="2:9" ht="12.75">
      <c r="B189" s="420"/>
      <c r="C189" s="420"/>
      <c r="D189" s="420"/>
      <c r="E189" s="420"/>
      <c r="F189" s="420"/>
      <c r="G189" s="420"/>
      <c r="H189" s="420"/>
      <c r="I189" s="420"/>
    </row>
    <row r="190" spans="2:9" ht="12.75">
      <c r="B190" s="420"/>
      <c r="C190" s="420"/>
      <c r="D190" s="420"/>
      <c r="E190" s="420"/>
      <c r="F190" s="420"/>
      <c r="G190" s="420"/>
      <c r="H190" s="420"/>
      <c r="I190" s="420"/>
    </row>
    <row r="191" spans="2:9" ht="12.75">
      <c r="B191" s="420"/>
      <c r="C191" s="420"/>
      <c r="D191" s="420"/>
      <c r="E191" s="420"/>
      <c r="F191" s="420"/>
      <c r="G191" s="420"/>
      <c r="H191" s="420"/>
      <c r="I191" s="420"/>
    </row>
    <row r="192" spans="2:9" ht="12.75">
      <c r="B192" s="420"/>
      <c r="C192" s="420"/>
      <c r="D192" s="420"/>
      <c r="E192" s="420"/>
      <c r="F192" s="420"/>
      <c r="G192" s="420"/>
      <c r="H192" s="420"/>
      <c r="I192" s="420"/>
    </row>
    <row r="193" spans="2:9" ht="12.75">
      <c r="B193" s="420"/>
      <c r="C193" s="420"/>
      <c r="D193" s="420"/>
      <c r="E193" s="420"/>
      <c r="F193" s="420"/>
      <c r="G193" s="420"/>
      <c r="H193" s="420"/>
      <c r="I193" s="420"/>
    </row>
    <row r="194" spans="2:9" ht="12.75">
      <c r="B194" s="420"/>
      <c r="C194" s="420"/>
      <c r="D194" s="420"/>
      <c r="E194" s="420"/>
      <c r="F194" s="420"/>
      <c r="G194" s="420"/>
      <c r="H194" s="420"/>
      <c r="I194" s="420"/>
    </row>
    <row r="195" spans="2:9" ht="12.75">
      <c r="B195" s="420"/>
      <c r="C195" s="420"/>
      <c r="D195" s="420"/>
      <c r="E195" s="420"/>
      <c r="F195" s="420"/>
      <c r="G195" s="420"/>
      <c r="H195" s="420"/>
      <c r="I195" s="420"/>
    </row>
    <row r="196" spans="2:9" ht="12.75">
      <c r="B196" s="420"/>
      <c r="C196" s="420"/>
      <c r="D196" s="420"/>
      <c r="E196" s="420"/>
      <c r="F196" s="420"/>
      <c r="G196" s="420"/>
      <c r="H196" s="420"/>
      <c r="I196" s="420"/>
    </row>
    <row r="197" spans="2:9" ht="12.75">
      <c r="B197" s="420"/>
      <c r="C197" s="420"/>
      <c r="D197" s="420"/>
      <c r="E197" s="420"/>
      <c r="F197" s="420"/>
      <c r="G197" s="420"/>
      <c r="H197" s="420"/>
      <c r="I197" s="420"/>
    </row>
    <row r="198" spans="2:9" ht="12.75">
      <c r="B198" s="420"/>
      <c r="C198" s="420"/>
      <c r="D198" s="420"/>
      <c r="E198" s="420"/>
      <c r="F198" s="420"/>
      <c r="G198" s="420"/>
      <c r="H198" s="420"/>
      <c r="I198" s="420"/>
    </row>
    <row r="199" spans="2:9" ht="12.75">
      <c r="B199" s="420"/>
      <c r="C199" s="420"/>
      <c r="D199" s="420"/>
      <c r="E199" s="420"/>
      <c r="F199" s="420"/>
      <c r="G199" s="420"/>
      <c r="H199" s="420"/>
      <c r="I199" s="420"/>
    </row>
    <row r="200" spans="2:9" ht="12.75">
      <c r="B200" s="420"/>
      <c r="C200" s="420"/>
      <c r="D200" s="420"/>
      <c r="E200" s="420"/>
      <c r="F200" s="420"/>
      <c r="G200" s="420"/>
      <c r="H200" s="420"/>
      <c r="I200" s="420"/>
    </row>
    <row r="201" spans="2:9" ht="12.75">
      <c r="B201" s="420"/>
      <c r="C201" s="420"/>
      <c r="D201" s="420"/>
      <c r="E201" s="420"/>
      <c r="F201" s="420"/>
      <c r="G201" s="420"/>
      <c r="H201" s="420"/>
      <c r="I201" s="420"/>
    </row>
    <row r="202" spans="2:9" ht="12.75">
      <c r="B202" s="420"/>
      <c r="C202" s="420"/>
      <c r="D202" s="420"/>
      <c r="E202" s="420"/>
      <c r="F202" s="420"/>
      <c r="G202" s="420"/>
      <c r="H202" s="420"/>
      <c r="I202" s="420"/>
    </row>
    <row r="203" spans="2:9" ht="12.75">
      <c r="B203" s="420"/>
      <c r="C203" s="420"/>
      <c r="D203" s="420"/>
      <c r="E203" s="420"/>
      <c r="F203" s="420"/>
      <c r="G203" s="420"/>
      <c r="H203" s="420"/>
      <c r="I203" s="420"/>
    </row>
    <row r="204" spans="2:9" ht="12.75">
      <c r="B204" s="420"/>
      <c r="C204" s="420"/>
      <c r="D204" s="420"/>
      <c r="E204" s="420"/>
      <c r="F204" s="420"/>
      <c r="G204" s="420"/>
      <c r="H204" s="420"/>
      <c r="I204" s="420"/>
    </row>
    <row r="205" spans="2:9" ht="12.75">
      <c r="B205" s="420"/>
      <c r="C205" s="420"/>
      <c r="D205" s="420"/>
      <c r="E205" s="420"/>
      <c r="F205" s="420"/>
      <c r="G205" s="420"/>
      <c r="H205" s="420"/>
      <c r="I205" s="420"/>
    </row>
    <row r="206" spans="2:9" ht="12.75">
      <c r="B206" s="420"/>
      <c r="C206" s="420"/>
      <c r="D206" s="420"/>
      <c r="E206" s="420"/>
      <c r="F206" s="420"/>
      <c r="G206" s="420"/>
      <c r="H206" s="420"/>
      <c r="I206" s="420"/>
    </row>
    <row r="207" spans="2:9" ht="12.75">
      <c r="B207" s="420"/>
      <c r="C207" s="420"/>
      <c r="D207" s="420"/>
      <c r="E207" s="420"/>
      <c r="F207" s="420"/>
      <c r="G207" s="420"/>
      <c r="H207" s="420"/>
      <c r="I207" s="420"/>
    </row>
    <row r="208" spans="2:9" ht="12.75">
      <c r="B208" s="420"/>
      <c r="C208" s="420"/>
      <c r="D208" s="420"/>
      <c r="E208" s="420"/>
      <c r="F208" s="420"/>
      <c r="G208" s="420"/>
      <c r="H208" s="420"/>
      <c r="I208" s="420"/>
    </row>
    <row r="209" spans="2:9" ht="12.75">
      <c r="B209" s="420"/>
      <c r="C209" s="420"/>
      <c r="D209" s="420"/>
      <c r="E209" s="420"/>
      <c r="F209" s="420"/>
      <c r="G209" s="420"/>
      <c r="H209" s="420"/>
      <c r="I209" s="420"/>
    </row>
    <row r="210" spans="2:9" ht="12.75">
      <c r="B210" s="420"/>
      <c r="C210" s="420"/>
      <c r="D210" s="420"/>
      <c r="E210" s="420"/>
      <c r="F210" s="420"/>
      <c r="G210" s="420"/>
      <c r="H210" s="420"/>
      <c r="I210" s="420"/>
    </row>
    <row r="211" spans="2:9" ht="12.75">
      <c r="B211" s="420"/>
      <c r="C211" s="420"/>
      <c r="D211" s="420"/>
      <c r="E211" s="420"/>
      <c r="F211" s="420"/>
      <c r="G211" s="420"/>
      <c r="H211" s="420"/>
      <c r="I211" s="420"/>
    </row>
    <row r="212" spans="2:9" ht="12.75">
      <c r="B212" s="420"/>
      <c r="C212" s="420"/>
      <c r="D212" s="420"/>
      <c r="E212" s="420"/>
      <c r="F212" s="420"/>
      <c r="G212" s="420"/>
      <c r="H212" s="420"/>
      <c r="I212" s="420"/>
    </row>
    <row r="213" spans="2:9" ht="12.75">
      <c r="B213" s="420"/>
      <c r="C213" s="420"/>
      <c r="D213" s="420"/>
      <c r="E213" s="420"/>
      <c r="F213" s="420"/>
      <c r="G213" s="420"/>
      <c r="H213" s="420"/>
      <c r="I213" s="420"/>
    </row>
    <row r="214" spans="2:9" ht="12.75">
      <c r="B214" s="420"/>
      <c r="C214" s="420"/>
      <c r="D214" s="420"/>
      <c r="E214" s="420"/>
      <c r="F214" s="420"/>
      <c r="G214" s="420"/>
      <c r="H214" s="420"/>
      <c r="I214" s="420"/>
    </row>
    <row r="215" spans="2:9" ht="12.75">
      <c r="B215" s="420"/>
      <c r="C215" s="420"/>
      <c r="D215" s="420"/>
      <c r="E215" s="420"/>
      <c r="F215" s="420"/>
      <c r="G215" s="420"/>
      <c r="H215" s="420"/>
      <c r="I215" s="420"/>
    </row>
    <row r="216" spans="2:9" ht="12.75">
      <c r="B216" s="420"/>
      <c r="C216" s="420"/>
      <c r="D216" s="420"/>
      <c r="E216" s="420"/>
      <c r="F216" s="420"/>
      <c r="G216" s="420"/>
      <c r="H216" s="420"/>
      <c r="I216" s="420"/>
    </row>
    <row r="217" spans="2:9" ht="12.75">
      <c r="B217" s="420"/>
      <c r="C217" s="420"/>
      <c r="D217" s="420"/>
      <c r="E217" s="420"/>
      <c r="F217" s="420"/>
      <c r="G217" s="420"/>
      <c r="H217" s="420"/>
      <c r="I217" s="420"/>
    </row>
    <row r="218" spans="2:9" ht="12.75">
      <c r="B218" s="420"/>
      <c r="C218" s="420"/>
      <c r="D218" s="420"/>
      <c r="E218" s="420"/>
      <c r="F218" s="420"/>
      <c r="G218" s="420"/>
      <c r="H218" s="420"/>
      <c r="I218" s="420"/>
    </row>
    <row r="219" spans="2:9" ht="12.75">
      <c r="B219" s="420"/>
      <c r="C219" s="420"/>
      <c r="D219" s="420"/>
      <c r="E219" s="420"/>
      <c r="F219" s="420"/>
      <c r="G219" s="420"/>
      <c r="H219" s="420"/>
      <c r="I219" s="420"/>
    </row>
    <row r="220" spans="2:9" ht="12.75">
      <c r="B220" s="420"/>
      <c r="C220" s="420"/>
      <c r="D220" s="420"/>
      <c r="E220" s="420"/>
      <c r="F220" s="420"/>
      <c r="G220" s="420"/>
      <c r="H220" s="420"/>
      <c r="I220" s="420"/>
    </row>
    <row r="221" spans="2:9" ht="12.75">
      <c r="B221" s="420"/>
      <c r="C221" s="420"/>
      <c r="D221" s="420"/>
      <c r="E221" s="420"/>
      <c r="F221" s="420"/>
      <c r="G221" s="420"/>
      <c r="H221" s="420"/>
      <c r="I221" s="420"/>
    </row>
    <row r="222" spans="2:9" ht="12.75">
      <c r="B222" s="420"/>
      <c r="C222" s="420"/>
      <c r="D222" s="420"/>
      <c r="E222" s="420"/>
      <c r="F222" s="420"/>
      <c r="G222" s="420"/>
      <c r="H222" s="420"/>
      <c r="I222" s="420"/>
    </row>
    <row r="223" spans="2:9" ht="12.75">
      <c r="B223" s="420"/>
      <c r="C223" s="420"/>
      <c r="D223" s="420"/>
      <c r="E223" s="420"/>
      <c r="F223" s="420"/>
      <c r="G223" s="420"/>
      <c r="H223" s="420"/>
      <c r="I223" s="420"/>
    </row>
    <row r="224" spans="2:9" ht="12.75">
      <c r="B224" s="420"/>
      <c r="C224" s="420"/>
      <c r="D224" s="420"/>
      <c r="E224" s="420"/>
      <c r="F224" s="420"/>
      <c r="G224" s="420"/>
      <c r="H224" s="420"/>
      <c r="I224" s="420"/>
    </row>
    <row r="225" spans="2:9" ht="12.75">
      <c r="B225" s="420"/>
      <c r="C225" s="420"/>
      <c r="D225" s="420"/>
      <c r="E225" s="420"/>
      <c r="F225" s="420"/>
      <c r="G225" s="420"/>
      <c r="H225" s="420"/>
      <c r="I225" s="420"/>
    </row>
    <row r="226" spans="2:9" ht="12.75">
      <c r="B226" s="420"/>
      <c r="C226" s="420"/>
      <c r="D226" s="420"/>
      <c r="E226" s="420"/>
      <c r="F226" s="420"/>
      <c r="G226" s="420"/>
      <c r="H226" s="420"/>
      <c r="I226" s="420"/>
    </row>
    <row r="227" spans="2:9" ht="12.75">
      <c r="B227" s="420"/>
      <c r="C227" s="420"/>
      <c r="D227" s="420"/>
      <c r="E227" s="420"/>
      <c r="F227" s="420"/>
      <c r="G227" s="420"/>
      <c r="H227" s="420"/>
      <c r="I227" s="420"/>
    </row>
    <row r="228" spans="2:9" ht="12.75">
      <c r="B228" s="420"/>
      <c r="C228" s="420"/>
      <c r="D228" s="420"/>
      <c r="E228" s="420"/>
      <c r="F228" s="420"/>
      <c r="G228" s="420"/>
      <c r="H228" s="420"/>
      <c r="I228" s="420"/>
    </row>
    <row r="229" spans="2:9" ht="12.75">
      <c r="B229" s="420"/>
      <c r="C229" s="420"/>
      <c r="D229" s="420"/>
      <c r="E229" s="420"/>
      <c r="F229" s="420"/>
      <c r="G229" s="420"/>
      <c r="H229" s="420"/>
      <c r="I229" s="420"/>
    </row>
    <row r="230" spans="2:9" ht="12.75">
      <c r="B230" s="420"/>
      <c r="C230" s="420"/>
      <c r="D230" s="420"/>
      <c r="E230" s="420"/>
      <c r="F230" s="420"/>
      <c r="G230" s="420"/>
      <c r="H230" s="420"/>
      <c r="I230" s="420"/>
    </row>
    <row r="231" spans="2:9" ht="12.75">
      <c r="B231" s="420"/>
      <c r="C231" s="420"/>
      <c r="D231" s="420"/>
      <c r="E231" s="420"/>
      <c r="F231" s="420"/>
      <c r="G231" s="420"/>
      <c r="H231" s="420"/>
      <c r="I231" s="420"/>
    </row>
    <row r="232" spans="2:9" ht="12.75">
      <c r="B232" s="420"/>
      <c r="C232" s="420"/>
      <c r="D232" s="420"/>
      <c r="E232" s="420"/>
      <c r="F232" s="420"/>
      <c r="G232" s="420"/>
      <c r="H232" s="420"/>
      <c r="I232" s="420"/>
    </row>
    <row r="233" spans="2:9" ht="12.75">
      <c r="B233" s="420"/>
      <c r="C233" s="420"/>
      <c r="D233" s="420"/>
      <c r="E233" s="420"/>
      <c r="F233" s="420"/>
      <c r="G233" s="420"/>
      <c r="H233" s="420"/>
      <c r="I233" s="420"/>
    </row>
    <row r="234" spans="2:9" ht="12.75">
      <c r="B234" s="420"/>
      <c r="C234" s="420"/>
      <c r="D234" s="420"/>
      <c r="E234" s="420"/>
      <c r="F234" s="420"/>
      <c r="G234" s="420"/>
      <c r="H234" s="420"/>
      <c r="I234" s="420"/>
    </row>
    <row r="235" spans="2:9" ht="12.75">
      <c r="B235" s="420"/>
      <c r="C235" s="420"/>
      <c r="D235" s="420"/>
      <c r="E235" s="420"/>
      <c r="F235" s="420"/>
      <c r="G235" s="420"/>
      <c r="H235" s="420"/>
      <c r="I235" s="420"/>
    </row>
    <row r="236" spans="2:9" ht="12.75">
      <c r="B236" s="420"/>
      <c r="C236" s="420"/>
      <c r="D236" s="420"/>
      <c r="E236" s="420"/>
      <c r="F236" s="420"/>
      <c r="G236" s="420"/>
      <c r="H236" s="420"/>
      <c r="I236" s="420"/>
    </row>
    <row r="237" spans="2:9" ht="12.75">
      <c r="B237" s="420"/>
      <c r="C237" s="420"/>
      <c r="D237" s="420"/>
      <c r="E237" s="420"/>
      <c r="F237" s="420"/>
      <c r="G237" s="420"/>
      <c r="H237" s="420"/>
      <c r="I237" s="420"/>
    </row>
    <row r="238" spans="2:9" ht="12.75">
      <c r="B238" s="420"/>
      <c r="C238" s="420"/>
      <c r="D238" s="420"/>
      <c r="E238" s="420"/>
      <c r="F238" s="420"/>
      <c r="G238" s="420"/>
      <c r="H238" s="420"/>
      <c r="I238" s="420"/>
    </row>
    <row r="239" spans="2:9" ht="12.75">
      <c r="B239" s="420"/>
      <c r="C239" s="420"/>
      <c r="D239" s="420"/>
      <c r="E239" s="420"/>
      <c r="F239" s="420"/>
      <c r="G239" s="420"/>
      <c r="H239" s="420"/>
      <c r="I239" s="420"/>
    </row>
    <row r="240" spans="2:9" ht="12.75">
      <c r="B240" s="420"/>
      <c r="C240" s="420"/>
      <c r="D240" s="420"/>
      <c r="E240" s="420"/>
      <c r="F240" s="420"/>
      <c r="G240" s="420"/>
      <c r="H240" s="420"/>
      <c r="I240" s="420"/>
    </row>
    <row r="241" spans="2:9" ht="12.75">
      <c r="B241" s="420"/>
      <c r="C241" s="420"/>
      <c r="D241" s="420"/>
      <c r="E241" s="420"/>
      <c r="F241" s="420"/>
      <c r="G241" s="420"/>
      <c r="H241" s="420"/>
      <c r="I241" s="420"/>
    </row>
    <row r="242" spans="2:9" ht="12.75">
      <c r="B242" s="420"/>
      <c r="C242" s="420"/>
      <c r="D242" s="420"/>
      <c r="E242" s="420"/>
      <c r="F242" s="420"/>
      <c r="G242" s="420"/>
      <c r="H242" s="420"/>
      <c r="I242" s="420"/>
    </row>
    <row r="243" spans="2:9" ht="12.75">
      <c r="B243" s="420"/>
      <c r="C243" s="420"/>
      <c r="D243" s="420"/>
      <c r="E243" s="420"/>
      <c r="F243" s="420"/>
      <c r="G243" s="420"/>
      <c r="H243" s="420"/>
      <c r="I243" s="420"/>
    </row>
    <row r="244" spans="2:9" ht="12.75">
      <c r="B244" s="420"/>
      <c r="C244" s="420"/>
      <c r="D244" s="420"/>
      <c r="E244" s="420"/>
      <c r="F244" s="420"/>
      <c r="G244" s="420"/>
      <c r="H244" s="420"/>
      <c r="I244" s="420"/>
    </row>
    <row r="245" spans="2:9" ht="12.75">
      <c r="B245" s="420"/>
      <c r="C245" s="420"/>
      <c r="D245" s="420"/>
      <c r="E245" s="420"/>
      <c r="F245" s="420"/>
      <c r="G245" s="420"/>
      <c r="H245" s="420"/>
      <c r="I245" s="420"/>
    </row>
    <row r="246" spans="2:9" ht="12.75">
      <c r="B246" s="420"/>
      <c r="C246" s="420"/>
      <c r="D246" s="420"/>
      <c r="E246" s="420"/>
      <c r="F246" s="420"/>
      <c r="G246" s="420"/>
      <c r="H246" s="420"/>
      <c r="I246" s="420"/>
    </row>
    <row r="247" spans="2:9" ht="12.75">
      <c r="B247" s="420"/>
      <c r="C247" s="420"/>
      <c r="D247" s="420"/>
      <c r="E247" s="420"/>
      <c r="F247" s="420"/>
      <c r="G247" s="420"/>
      <c r="H247" s="420"/>
      <c r="I247" s="420"/>
    </row>
    <row r="248" spans="2:9" ht="12.75">
      <c r="B248" s="420"/>
      <c r="C248" s="420"/>
      <c r="D248" s="420"/>
      <c r="E248" s="420"/>
      <c r="F248" s="420"/>
      <c r="G248" s="420"/>
      <c r="H248" s="420"/>
      <c r="I248" s="420"/>
    </row>
    <row r="249" spans="2:9" ht="12.75">
      <c r="B249" s="420"/>
      <c r="C249" s="420"/>
      <c r="D249" s="420"/>
      <c r="E249" s="420"/>
      <c r="F249" s="420"/>
      <c r="G249" s="420"/>
      <c r="H249" s="420"/>
      <c r="I249" s="420"/>
    </row>
    <row r="250" spans="2:9" ht="12.75">
      <c r="B250" s="420"/>
      <c r="C250" s="420"/>
      <c r="D250" s="420"/>
      <c r="E250" s="420"/>
      <c r="F250" s="420"/>
      <c r="G250" s="420"/>
      <c r="H250" s="420"/>
      <c r="I250" s="420"/>
    </row>
    <row r="251" spans="2:9" ht="12.75">
      <c r="B251" s="420"/>
      <c r="C251" s="420"/>
      <c r="D251" s="420"/>
      <c r="E251" s="420"/>
      <c r="F251" s="420"/>
      <c r="G251" s="420"/>
      <c r="H251" s="420"/>
      <c r="I251" s="420"/>
    </row>
    <row r="252" spans="2:9" ht="12.75">
      <c r="B252" s="420"/>
      <c r="C252" s="420"/>
      <c r="D252" s="420"/>
      <c r="E252" s="420"/>
      <c r="F252" s="420"/>
      <c r="G252" s="420"/>
      <c r="H252" s="420"/>
      <c r="I252" s="420"/>
    </row>
    <row r="253" spans="2:9" ht="12.75">
      <c r="B253" s="420"/>
      <c r="C253" s="420"/>
      <c r="D253" s="420"/>
      <c r="E253" s="420"/>
      <c r="F253" s="420"/>
      <c r="G253" s="420"/>
      <c r="H253" s="420"/>
      <c r="I253" s="420"/>
    </row>
    <row r="254" spans="2:9" ht="12.75">
      <c r="B254" s="420"/>
      <c r="C254" s="420"/>
      <c r="D254" s="420"/>
      <c r="E254" s="420"/>
      <c r="F254" s="420"/>
      <c r="G254" s="420"/>
      <c r="H254" s="420"/>
      <c r="I254" s="420"/>
    </row>
    <row r="255" spans="2:9" ht="12.75">
      <c r="B255" s="420"/>
      <c r="C255" s="420"/>
      <c r="D255" s="420"/>
      <c r="E255" s="420"/>
      <c r="F255" s="420"/>
      <c r="G255" s="420"/>
      <c r="H255" s="420"/>
      <c r="I255" s="420"/>
    </row>
    <row r="256" spans="2:9" ht="12.75">
      <c r="B256" s="420"/>
      <c r="C256" s="420"/>
      <c r="D256" s="420"/>
      <c r="E256" s="420"/>
      <c r="F256" s="420"/>
      <c r="G256" s="420"/>
      <c r="H256" s="420"/>
      <c r="I256" s="420"/>
    </row>
    <row r="257" spans="2:9" ht="12.75">
      <c r="B257" s="420"/>
      <c r="C257" s="420"/>
      <c r="D257" s="420"/>
      <c r="E257" s="420"/>
      <c r="F257" s="420"/>
      <c r="G257" s="420"/>
      <c r="H257" s="420"/>
      <c r="I257" s="420"/>
    </row>
    <row r="258" spans="2:9" ht="12.75">
      <c r="B258" s="420"/>
      <c r="C258" s="420"/>
      <c r="D258" s="420"/>
      <c r="E258" s="420"/>
      <c r="F258" s="420"/>
      <c r="G258" s="420"/>
      <c r="H258" s="420"/>
      <c r="I258" s="420"/>
    </row>
    <row r="259" spans="2:9" ht="12.75">
      <c r="B259" s="420"/>
      <c r="C259" s="420"/>
      <c r="D259" s="420"/>
      <c r="E259" s="420"/>
      <c r="F259" s="420"/>
      <c r="G259" s="420"/>
      <c r="H259" s="420"/>
      <c r="I259" s="420"/>
    </row>
    <row r="260" spans="2:9" ht="12.75">
      <c r="B260" s="420"/>
      <c r="C260" s="420"/>
      <c r="D260" s="420"/>
      <c r="E260" s="420"/>
      <c r="F260" s="420"/>
      <c r="G260" s="420"/>
      <c r="H260" s="420"/>
      <c r="I260" s="420"/>
    </row>
    <row r="261" spans="2:9" ht="12.75">
      <c r="B261" s="420"/>
      <c r="C261" s="420"/>
      <c r="D261" s="420"/>
      <c r="E261" s="420"/>
      <c r="F261" s="420"/>
      <c r="G261" s="420"/>
      <c r="H261" s="420"/>
      <c r="I261" s="420"/>
    </row>
    <row r="262" spans="2:9" ht="12.75">
      <c r="B262" s="420"/>
      <c r="C262" s="420"/>
      <c r="D262" s="420"/>
      <c r="E262" s="420"/>
      <c r="F262" s="420"/>
      <c r="G262" s="420"/>
      <c r="H262" s="420"/>
      <c r="I262" s="420"/>
    </row>
    <row r="263" spans="2:9" ht="12.75">
      <c r="B263" s="420"/>
      <c r="C263" s="420"/>
      <c r="D263" s="420"/>
      <c r="E263" s="420"/>
      <c r="F263" s="420"/>
      <c r="G263" s="420"/>
      <c r="H263" s="420"/>
      <c r="I263" s="420"/>
    </row>
    <row r="264" spans="2:9" ht="12.75">
      <c r="B264" s="420"/>
      <c r="C264" s="420"/>
      <c r="D264" s="420"/>
      <c r="E264" s="420"/>
      <c r="F264" s="420"/>
      <c r="G264" s="420"/>
      <c r="H264" s="420"/>
      <c r="I264" s="420"/>
    </row>
    <row r="265" spans="2:9" ht="12.75">
      <c r="B265" s="420"/>
      <c r="C265" s="420"/>
      <c r="D265" s="420"/>
      <c r="E265" s="420"/>
      <c r="F265" s="420"/>
      <c r="G265" s="420"/>
      <c r="H265" s="420"/>
      <c r="I265" s="420"/>
    </row>
    <row r="266" spans="2:9" ht="12.75">
      <c r="B266" s="420"/>
      <c r="C266" s="420"/>
      <c r="D266" s="420"/>
      <c r="E266" s="420"/>
      <c r="F266" s="420"/>
      <c r="G266" s="420"/>
      <c r="H266" s="420"/>
      <c r="I266" s="420"/>
    </row>
    <row r="267" spans="2:9" ht="12.75">
      <c r="B267" s="420"/>
      <c r="C267" s="420"/>
      <c r="D267" s="420"/>
      <c r="E267" s="420"/>
      <c r="F267" s="420"/>
      <c r="G267" s="420"/>
      <c r="H267" s="420"/>
      <c r="I267" s="420"/>
    </row>
    <row r="268" spans="2:9" ht="12.75">
      <c r="B268" s="420"/>
      <c r="C268" s="420"/>
      <c r="D268" s="420"/>
      <c r="E268" s="420"/>
      <c r="F268" s="420"/>
      <c r="G268" s="420"/>
      <c r="H268" s="420"/>
      <c r="I268" s="420"/>
    </row>
    <row r="269" spans="2:9" ht="12.75">
      <c r="B269" s="420"/>
      <c r="C269" s="420"/>
      <c r="D269" s="420"/>
      <c r="E269" s="420"/>
      <c r="F269" s="420"/>
      <c r="G269" s="420"/>
      <c r="H269" s="420"/>
      <c r="I269" s="420"/>
    </row>
    <row r="270" spans="2:9" ht="12.75">
      <c r="B270" s="420"/>
      <c r="C270" s="420"/>
      <c r="D270" s="420"/>
      <c r="E270" s="420"/>
      <c r="F270" s="420"/>
      <c r="G270" s="420"/>
      <c r="H270" s="420"/>
      <c r="I270" s="420"/>
    </row>
    <row r="271" spans="2:9" ht="12.75">
      <c r="B271" s="420"/>
      <c r="C271" s="420"/>
      <c r="D271" s="420"/>
      <c r="E271" s="420"/>
      <c r="F271" s="420"/>
      <c r="G271" s="420"/>
      <c r="H271" s="420"/>
      <c r="I271" s="420"/>
    </row>
    <row r="272" spans="2:9" ht="12.75">
      <c r="B272" s="420"/>
      <c r="C272" s="420"/>
      <c r="D272" s="420"/>
      <c r="E272" s="420"/>
      <c r="F272" s="420"/>
      <c r="G272" s="420"/>
      <c r="H272" s="420"/>
      <c r="I272" s="420"/>
    </row>
    <row r="273" spans="2:9" ht="12.75">
      <c r="B273" s="420"/>
      <c r="C273" s="420"/>
      <c r="D273" s="420"/>
      <c r="E273" s="420"/>
      <c r="F273" s="420"/>
      <c r="G273" s="420"/>
      <c r="H273" s="420"/>
      <c r="I273" s="420"/>
    </row>
    <row r="274" spans="2:9" ht="12.75">
      <c r="B274" s="420"/>
      <c r="C274" s="420"/>
      <c r="D274" s="420"/>
      <c r="E274" s="420"/>
      <c r="F274" s="420"/>
      <c r="G274" s="420"/>
      <c r="H274" s="420"/>
      <c r="I274" s="420"/>
    </row>
    <row r="275" spans="2:9" ht="12.75">
      <c r="B275" s="420"/>
      <c r="C275" s="420"/>
      <c r="D275" s="420"/>
      <c r="E275" s="420"/>
      <c r="F275" s="420"/>
      <c r="G275" s="420"/>
      <c r="H275" s="420"/>
      <c r="I275" s="420"/>
    </row>
    <row r="276" spans="2:9" ht="12.75">
      <c r="B276" s="420"/>
      <c r="C276" s="420"/>
      <c r="D276" s="420"/>
      <c r="E276" s="420"/>
      <c r="F276" s="420"/>
      <c r="G276" s="420"/>
      <c r="H276" s="420"/>
      <c r="I276" s="420"/>
    </row>
    <row r="277" spans="2:9" ht="12.75">
      <c r="B277" s="420"/>
      <c r="C277" s="420"/>
      <c r="D277" s="420"/>
      <c r="E277" s="420"/>
      <c r="F277" s="420"/>
      <c r="G277" s="420"/>
      <c r="H277" s="420"/>
      <c r="I277" s="420"/>
    </row>
    <row r="278" spans="2:9" ht="12.75">
      <c r="B278" s="420"/>
      <c r="C278" s="420"/>
      <c r="D278" s="420"/>
      <c r="E278" s="420"/>
      <c r="F278" s="420"/>
      <c r="G278" s="420"/>
      <c r="H278" s="420"/>
      <c r="I278" s="420"/>
    </row>
    <row r="279" spans="2:9" ht="12.75">
      <c r="B279" s="420"/>
      <c r="C279" s="420"/>
      <c r="D279" s="420"/>
      <c r="E279" s="420"/>
      <c r="F279" s="420"/>
      <c r="G279" s="420"/>
      <c r="H279" s="420"/>
      <c r="I279" s="420"/>
    </row>
    <row r="280" spans="2:9" ht="12.75">
      <c r="B280" s="420"/>
      <c r="C280" s="420"/>
      <c r="D280" s="420"/>
      <c r="E280" s="420"/>
      <c r="F280" s="420"/>
      <c r="G280" s="420"/>
      <c r="H280" s="420"/>
      <c r="I280" s="420"/>
    </row>
    <row r="281" spans="2:9" ht="12.75">
      <c r="B281" s="420"/>
      <c r="C281" s="420"/>
      <c r="D281" s="420"/>
      <c r="E281" s="420"/>
      <c r="F281" s="420"/>
      <c r="G281" s="420"/>
      <c r="H281" s="420"/>
      <c r="I281" s="420"/>
    </row>
    <row r="282" spans="2:9" ht="12.75">
      <c r="B282" s="420"/>
      <c r="C282" s="420"/>
      <c r="D282" s="420"/>
      <c r="E282" s="420"/>
      <c r="F282" s="420"/>
      <c r="G282" s="420"/>
      <c r="H282" s="420"/>
      <c r="I282" s="420"/>
    </row>
    <row r="283" spans="2:9" ht="12.75">
      <c r="B283" s="420"/>
      <c r="C283" s="420"/>
      <c r="D283" s="420"/>
      <c r="E283" s="420"/>
      <c r="F283" s="420"/>
      <c r="G283" s="420"/>
      <c r="H283" s="420"/>
      <c r="I283" s="420"/>
    </row>
    <row r="284" spans="2:9" ht="12.75">
      <c r="B284" s="420"/>
      <c r="C284" s="420"/>
      <c r="D284" s="420"/>
      <c r="E284" s="420"/>
      <c r="F284" s="420"/>
      <c r="G284" s="420"/>
      <c r="H284" s="420"/>
      <c r="I284" s="420"/>
    </row>
    <row r="285" spans="2:9" ht="12.75">
      <c r="B285" s="420"/>
      <c r="C285" s="420"/>
      <c r="D285" s="420"/>
      <c r="E285" s="420"/>
      <c r="F285" s="420"/>
      <c r="G285" s="420"/>
      <c r="H285" s="420"/>
      <c r="I285" s="420"/>
    </row>
    <row r="286" spans="2:9" ht="12.75">
      <c r="B286" s="420"/>
      <c r="C286" s="420"/>
      <c r="D286" s="420"/>
      <c r="E286" s="420"/>
      <c r="F286" s="420"/>
      <c r="G286" s="420"/>
      <c r="H286" s="420"/>
      <c r="I286" s="420"/>
    </row>
    <row r="287" spans="2:9" ht="12.75">
      <c r="B287" s="420"/>
      <c r="C287" s="420"/>
      <c r="D287" s="420"/>
      <c r="E287" s="420"/>
      <c r="F287" s="420"/>
      <c r="G287" s="420"/>
      <c r="H287" s="420"/>
      <c r="I287" s="420"/>
    </row>
    <row r="288" spans="2:9" ht="12.75">
      <c r="B288" s="420"/>
      <c r="C288" s="420"/>
      <c r="D288" s="420"/>
      <c r="E288" s="420"/>
      <c r="F288" s="420"/>
      <c r="G288" s="420"/>
      <c r="H288" s="420"/>
      <c r="I288" s="420"/>
    </row>
    <row r="289" spans="2:9" ht="12.75">
      <c r="B289" s="420"/>
      <c r="C289" s="420"/>
      <c r="D289" s="420"/>
      <c r="E289" s="420"/>
      <c r="F289" s="420"/>
      <c r="G289" s="420"/>
      <c r="H289" s="420"/>
      <c r="I289" s="420"/>
    </row>
    <row r="290" spans="2:9" ht="12.75">
      <c r="B290" s="420"/>
      <c r="C290" s="420"/>
      <c r="D290" s="420"/>
      <c r="E290" s="420"/>
      <c r="F290" s="420"/>
      <c r="G290" s="420"/>
      <c r="H290" s="420"/>
      <c r="I290" s="420"/>
    </row>
    <row r="291" spans="2:9" ht="12.75">
      <c r="B291" s="420"/>
      <c r="C291" s="420"/>
      <c r="D291" s="420"/>
      <c r="E291" s="420"/>
      <c r="F291" s="420"/>
      <c r="G291" s="420"/>
      <c r="H291" s="420"/>
      <c r="I291" s="420"/>
    </row>
    <row r="292" spans="2:9" ht="12.75">
      <c r="B292" s="420"/>
      <c r="C292" s="420"/>
      <c r="D292" s="420"/>
      <c r="E292" s="420"/>
      <c r="F292" s="420"/>
      <c r="G292" s="420"/>
      <c r="H292" s="420"/>
      <c r="I292" s="420"/>
    </row>
    <row r="293" spans="2:9" ht="12.75">
      <c r="B293" s="420"/>
      <c r="C293" s="420"/>
      <c r="D293" s="420"/>
      <c r="E293" s="420"/>
      <c r="F293" s="420"/>
      <c r="G293" s="420"/>
      <c r="H293" s="420"/>
      <c r="I293" s="420"/>
    </row>
    <row r="294" spans="2:9" ht="12.75">
      <c r="B294" s="420"/>
      <c r="C294" s="420"/>
      <c r="D294" s="420"/>
      <c r="E294" s="420"/>
      <c r="F294" s="420"/>
      <c r="G294" s="420"/>
      <c r="H294" s="420"/>
      <c r="I294" s="420"/>
    </row>
    <row r="295" spans="2:9" ht="12.75">
      <c r="B295" s="420"/>
      <c r="C295" s="420"/>
      <c r="D295" s="420"/>
      <c r="E295" s="420"/>
      <c r="F295" s="420"/>
      <c r="G295" s="420"/>
      <c r="H295" s="420"/>
      <c r="I295" s="420"/>
    </row>
    <row r="296" spans="2:9" ht="12.75">
      <c r="B296" s="420"/>
      <c r="C296" s="420"/>
      <c r="D296" s="420"/>
      <c r="E296" s="420"/>
      <c r="F296" s="420"/>
      <c r="G296" s="420"/>
      <c r="H296" s="420"/>
      <c r="I296" s="420"/>
    </row>
    <row r="297" spans="2:9" ht="12.75">
      <c r="B297" s="420"/>
      <c r="C297" s="420"/>
      <c r="D297" s="420"/>
      <c r="E297" s="420"/>
      <c r="F297" s="420"/>
      <c r="G297" s="420"/>
      <c r="H297" s="420"/>
      <c r="I297" s="420"/>
    </row>
    <row r="298" spans="2:9" ht="12.75">
      <c r="B298" s="420"/>
      <c r="C298" s="420"/>
      <c r="D298" s="420"/>
      <c r="E298" s="420"/>
      <c r="F298" s="420"/>
      <c r="G298" s="420"/>
      <c r="H298" s="420"/>
      <c r="I298" s="420"/>
    </row>
    <row r="299" spans="2:9" ht="12.75">
      <c r="B299" s="420"/>
      <c r="C299" s="420"/>
      <c r="D299" s="420"/>
      <c r="E299" s="420"/>
      <c r="F299" s="420"/>
      <c r="G299" s="420"/>
      <c r="H299" s="420"/>
      <c r="I299" s="420"/>
    </row>
    <row r="300" spans="2:9" ht="12.75">
      <c r="B300" s="420"/>
      <c r="C300" s="420"/>
      <c r="D300" s="420"/>
      <c r="E300" s="420"/>
      <c r="F300" s="420"/>
      <c r="G300" s="420"/>
      <c r="H300" s="420"/>
      <c r="I300" s="420"/>
    </row>
    <row r="301" spans="2:9" ht="12.75">
      <c r="B301" s="420"/>
      <c r="C301" s="420"/>
      <c r="D301" s="420"/>
      <c r="E301" s="420"/>
      <c r="F301" s="420"/>
      <c r="G301" s="420"/>
      <c r="H301" s="420"/>
      <c r="I301" s="420"/>
    </row>
    <row r="302" spans="2:9" ht="12.75">
      <c r="B302" s="420"/>
      <c r="C302" s="420"/>
      <c r="D302" s="420"/>
      <c r="E302" s="420"/>
      <c r="F302" s="420"/>
      <c r="G302" s="420"/>
      <c r="H302" s="420"/>
      <c r="I302" s="420"/>
    </row>
    <row r="303" spans="2:9" ht="12.75">
      <c r="B303" s="420"/>
      <c r="C303" s="420"/>
      <c r="D303" s="420"/>
      <c r="E303" s="420"/>
      <c r="F303" s="420"/>
      <c r="G303" s="420"/>
      <c r="H303" s="420"/>
      <c r="I303" s="420"/>
    </row>
    <row r="304" spans="2:9" ht="12.75">
      <c r="B304" s="420"/>
      <c r="C304" s="420"/>
      <c r="D304" s="420"/>
      <c r="E304" s="420"/>
      <c r="F304" s="420"/>
      <c r="G304" s="420"/>
      <c r="H304" s="420"/>
      <c r="I304" s="420"/>
    </row>
    <row r="305" spans="2:9" ht="12.75">
      <c r="B305" s="420"/>
      <c r="C305" s="420"/>
      <c r="D305" s="420"/>
      <c r="E305" s="420"/>
      <c r="F305" s="420"/>
      <c r="G305" s="420"/>
      <c r="H305" s="420"/>
      <c r="I305" s="420"/>
    </row>
    <row r="306" spans="2:9" ht="12.75">
      <c r="B306" s="420"/>
      <c r="C306" s="420"/>
      <c r="D306" s="420"/>
      <c r="E306" s="420"/>
      <c r="F306" s="420"/>
      <c r="G306" s="420"/>
      <c r="H306" s="420"/>
      <c r="I306" s="420"/>
    </row>
    <row r="307" spans="2:9" ht="12.75">
      <c r="B307" s="420"/>
      <c r="C307" s="420"/>
      <c r="D307" s="420"/>
      <c r="E307" s="420"/>
      <c r="F307" s="420"/>
      <c r="G307" s="420"/>
      <c r="H307" s="420"/>
      <c r="I307" s="420"/>
    </row>
    <row r="308" spans="2:9" ht="12.75">
      <c r="B308" s="420"/>
      <c r="C308" s="420"/>
      <c r="D308" s="420"/>
      <c r="E308" s="420"/>
      <c r="F308" s="420"/>
      <c r="G308" s="420"/>
      <c r="H308" s="420"/>
      <c r="I308" s="420"/>
    </row>
    <row r="309" spans="2:9" ht="12.75">
      <c r="B309" s="420"/>
      <c r="C309" s="420"/>
      <c r="D309" s="420"/>
      <c r="E309" s="420"/>
      <c r="F309" s="420"/>
      <c r="G309" s="420"/>
      <c r="H309" s="420"/>
      <c r="I309" s="420"/>
    </row>
    <row r="310" spans="2:9" ht="12.75">
      <c r="B310" s="420"/>
      <c r="C310" s="420"/>
      <c r="D310" s="420"/>
      <c r="E310" s="420"/>
      <c r="F310" s="420"/>
      <c r="G310" s="420"/>
      <c r="H310" s="420"/>
      <c r="I310" s="420"/>
    </row>
    <row r="311" spans="2:9" ht="12.75">
      <c r="B311" s="420"/>
      <c r="C311" s="420"/>
      <c r="D311" s="420"/>
      <c r="E311" s="420"/>
      <c r="F311" s="420"/>
      <c r="G311" s="420"/>
      <c r="H311" s="420"/>
      <c r="I311" s="420"/>
    </row>
    <row r="312" spans="2:9" ht="12.75">
      <c r="B312" s="420"/>
      <c r="C312" s="420"/>
      <c r="D312" s="420"/>
      <c r="E312" s="420"/>
      <c r="F312" s="420"/>
      <c r="G312" s="420"/>
      <c r="H312" s="420"/>
      <c r="I312" s="420"/>
    </row>
    <row r="313" spans="2:9" ht="12.75">
      <c r="B313" s="420"/>
      <c r="C313" s="420"/>
      <c r="D313" s="420"/>
      <c r="E313" s="420"/>
      <c r="F313" s="420"/>
      <c r="G313" s="420"/>
      <c r="H313" s="420"/>
      <c r="I313" s="420"/>
    </row>
    <row r="314" spans="2:9" ht="12.75">
      <c r="B314" s="420"/>
      <c r="C314" s="420"/>
      <c r="D314" s="420"/>
      <c r="E314" s="420"/>
      <c r="F314" s="420"/>
      <c r="G314" s="420"/>
      <c r="H314" s="420"/>
      <c r="I314" s="420"/>
    </row>
    <row r="315" spans="2:9" ht="12.75">
      <c r="B315" s="420"/>
      <c r="C315" s="420"/>
      <c r="D315" s="420"/>
      <c r="E315" s="420"/>
      <c r="F315" s="420"/>
      <c r="G315" s="420"/>
      <c r="H315" s="420"/>
      <c r="I315" s="420"/>
    </row>
    <row r="316" spans="2:9" ht="12.75">
      <c r="B316" s="420"/>
      <c r="C316" s="420"/>
      <c r="D316" s="420"/>
      <c r="E316" s="420"/>
      <c r="F316" s="420"/>
      <c r="G316" s="420"/>
      <c r="H316" s="420"/>
      <c r="I316" s="420"/>
    </row>
    <row r="317" spans="2:9" ht="12.75">
      <c r="B317" s="420"/>
      <c r="C317" s="420"/>
      <c r="D317" s="420"/>
      <c r="E317" s="420"/>
      <c r="F317" s="420"/>
      <c r="G317" s="420"/>
      <c r="H317" s="420"/>
      <c r="I317" s="420"/>
    </row>
    <row r="318" spans="2:9" ht="12.75">
      <c r="B318" s="420"/>
      <c r="C318" s="420"/>
      <c r="D318" s="420"/>
      <c r="E318" s="420"/>
      <c r="F318" s="420"/>
      <c r="G318" s="420"/>
      <c r="H318" s="420"/>
      <c r="I318" s="420"/>
    </row>
    <row r="319" spans="2:9" ht="12.75">
      <c r="B319" s="420"/>
      <c r="C319" s="420"/>
      <c r="D319" s="420"/>
      <c r="E319" s="420"/>
      <c r="F319" s="420"/>
      <c r="G319" s="420"/>
      <c r="H319" s="420"/>
      <c r="I319" s="420"/>
    </row>
    <row r="320" spans="2:9" ht="12.75">
      <c r="B320" s="420"/>
      <c r="C320" s="420"/>
      <c r="D320" s="420"/>
      <c r="E320" s="420"/>
      <c r="F320" s="420"/>
      <c r="G320" s="420"/>
      <c r="H320" s="420"/>
      <c r="I320" s="420"/>
    </row>
    <row r="321" spans="2:9" ht="12.75">
      <c r="B321" s="420"/>
      <c r="C321" s="420"/>
      <c r="D321" s="420"/>
      <c r="E321" s="420"/>
      <c r="F321" s="420"/>
      <c r="G321" s="420"/>
      <c r="H321" s="420"/>
      <c r="I321" s="420"/>
    </row>
    <row r="322" spans="2:9" ht="12.75">
      <c r="B322" s="420"/>
      <c r="C322" s="420"/>
      <c r="D322" s="420"/>
      <c r="E322" s="420"/>
      <c r="F322" s="420"/>
      <c r="G322" s="420"/>
      <c r="H322" s="420"/>
      <c r="I322" s="420"/>
    </row>
    <row r="323" spans="2:9" ht="12.75">
      <c r="B323" s="420"/>
      <c r="C323" s="420"/>
      <c r="D323" s="420"/>
      <c r="E323" s="420"/>
      <c r="F323" s="420"/>
      <c r="G323" s="420"/>
      <c r="H323" s="420"/>
      <c r="I323" s="420"/>
    </row>
    <row r="324" spans="2:9" ht="12.75">
      <c r="B324" s="420"/>
      <c r="C324" s="420"/>
      <c r="D324" s="420"/>
      <c r="E324" s="420"/>
      <c r="F324" s="420"/>
      <c r="G324" s="420"/>
      <c r="H324" s="420"/>
      <c r="I324" s="420"/>
    </row>
    <row r="325" spans="2:9" ht="12.75">
      <c r="B325" s="420"/>
      <c r="C325" s="420"/>
      <c r="D325" s="420"/>
      <c r="E325" s="420"/>
      <c r="F325" s="420"/>
      <c r="G325" s="420"/>
      <c r="H325" s="420"/>
      <c r="I325" s="420"/>
    </row>
    <row r="326" spans="2:9" ht="12.75">
      <c r="B326" s="420"/>
      <c r="C326" s="420"/>
      <c r="D326" s="420"/>
      <c r="E326" s="420"/>
      <c r="F326" s="420"/>
      <c r="G326" s="420"/>
      <c r="H326" s="420"/>
      <c r="I326" s="420"/>
    </row>
    <row r="327" spans="2:9" ht="12.75">
      <c r="B327" s="420"/>
      <c r="C327" s="420"/>
      <c r="D327" s="420"/>
      <c r="E327" s="420"/>
      <c r="F327" s="420"/>
      <c r="G327" s="420"/>
      <c r="H327" s="420"/>
      <c r="I327" s="420"/>
    </row>
    <row r="328" spans="2:9" ht="12.75">
      <c r="B328" s="420"/>
      <c r="C328" s="420"/>
      <c r="D328" s="420"/>
      <c r="E328" s="420"/>
      <c r="F328" s="420"/>
      <c r="G328" s="420"/>
      <c r="H328" s="420"/>
      <c r="I328" s="420"/>
    </row>
    <row r="329" spans="2:9" ht="12.75">
      <c r="B329" s="420"/>
      <c r="C329" s="420"/>
      <c r="D329" s="420"/>
      <c r="E329" s="420"/>
      <c r="F329" s="420"/>
      <c r="G329" s="420"/>
      <c r="H329" s="420"/>
      <c r="I329" s="420"/>
    </row>
    <row r="330" spans="2:9" ht="12.75">
      <c r="B330" s="420"/>
      <c r="C330" s="420"/>
      <c r="D330" s="420"/>
      <c r="E330" s="420"/>
      <c r="F330" s="420"/>
      <c r="G330" s="420"/>
      <c r="H330" s="420"/>
      <c r="I330" s="420"/>
    </row>
    <row r="331" spans="2:9" ht="12.75">
      <c r="B331" s="420"/>
      <c r="C331" s="420"/>
      <c r="D331" s="420"/>
      <c r="E331" s="420"/>
      <c r="F331" s="420"/>
      <c r="G331" s="420"/>
      <c r="H331" s="420"/>
      <c r="I331" s="420"/>
    </row>
    <row r="332" spans="2:9" ht="12.75">
      <c r="B332" s="420"/>
      <c r="C332" s="420"/>
      <c r="D332" s="420"/>
      <c r="E332" s="420"/>
      <c r="F332" s="420"/>
      <c r="G332" s="420"/>
      <c r="H332" s="420"/>
      <c r="I332" s="420"/>
    </row>
    <row r="333" spans="2:9" ht="12.75">
      <c r="B333" s="420"/>
      <c r="C333" s="420"/>
      <c r="D333" s="420"/>
      <c r="E333" s="420"/>
      <c r="F333" s="420"/>
      <c r="G333" s="420"/>
      <c r="H333" s="420"/>
      <c r="I333" s="420"/>
    </row>
    <row r="334" spans="2:9" ht="12.75">
      <c r="B334" s="420"/>
      <c r="C334" s="420"/>
      <c r="D334" s="420"/>
      <c r="E334" s="420"/>
      <c r="F334" s="420"/>
      <c r="G334" s="420"/>
      <c r="H334" s="420"/>
      <c r="I334" s="420"/>
    </row>
    <row r="335" spans="2:9" ht="12.75">
      <c r="B335" s="420"/>
      <c r="C335" s="420"/>
      <c r="D335" s="420"/>
      <c r="E335" s="420"/>
      <c r="F335" s="420"/>
      <c r="G335" s="420"/>
      <c r="H335" s="420"/>
      <c r="I335" s="420"/>
    </row>
    <row r="336" spans="2:9" ht="12.75">
      <c r="B336" s="420"/>
      <c r="C336" s="420"/>
      <c r="D336" s="420"/>
      <c r="E336" s="420"/>
      <c r="F336" s="420"/>
      <c r="G336" s="420"/>
      <c r="H336" s="420"/>
      <c r="I336" s="420"/>
    </row>
    <row r="337" spans="2:9" ht="12.75">
      <c r="B337" s="420"/>
      <c r="C337" s="420"/>
      <c r="D337" s="420"/>
      <c r="E337" s="420"/>
      <c r="F337" s="420"/>
      <c r="G337" s="420"/>
      <c r="H337" s="420"/>
      <c r="I337" s="420"/>
    </row>
    <row r="338" spans="2:9" ht="12.75">
      <c r="B338" s="420"/>
      <c r="C338" s="420"/>
      <c r="D338" s="420"/>
      <c r="E338" s="420"/>
      <c r="F338" s="420"/>
      <c r="G338" s="420"/>
      <c r="H338" s="420"/>
      <c r="I338" s="420"/>
    </row>
    <row r="339" spans="2:9" ht="12.75">
      <c r="B339" s="420"/>
      <c r="C339" s="420"/>
      <c r="D339" s="420"/>
      <c r="E339" s="420"/>
      <c r="F339" s="420"/>
      <c r="G339" s="420"/>
      <c r="H339" s="420"/>
      <c r="I339" s="420"/>
    </row>
    <row r="340" spans="2:9" ht="12.75">
      <c r="B340" s="420"/>
      <c r="C340" s="420"/>
      <c r="D340" s="420"/>
      <c r="E340" s="420"/>
      <c r="F340" s="420"/>
      <c r="G340" s="420"/>
      <c r="H340" s="420"/>
      <c r="I340" s="420"/>
    </row>
    <row r="341" spans="2:9" ht="12.75">
      <c r="B341" s="420"/>
      <c r="C341" s="420"/>
      <c r="D341" s="420"/>
      <c r="E341" s="420"/>
      <c r="F341" s="420"/>
      <c r="G341" s="420"/>
      <c r="H341" s="420"/>
      <c r="I341" s="420"/>
    </row>
    <row r="342" spans="2:9" ht="12.75">
      <c r="B342" s="420"/>
      <c r="C342" s="420"/>
      <c r="D342" s="420"/>
      <c r="E342" s="420"/>
      <c r="F342" s="420"/>
      <c r="G342" s="420"/>
      <c r="H342" s="420"/>
      <c r="I342" s="420"/>
    </row>
    <row r="343" spans="2:9" ht="12.75">
      <c r="B343" s="420"/>
      <c r="C343" s="420"/>
      <c r="D343" s="420"/>
      <c r="E343" s="420"/>
      <c r="F343" s="420"/>
      <c r="G343" s="420"/>
      <c r="H343" s="420"/>
      <c r="I343" s="420"/>
    </row>
    <row r="344" spans="2:9" ht="12.75">
      <c r="B344" s="420"/>
      <c r="C344" s="420"/>
      <c r="D344" s="420"/>
      <c r="E344" s="420"/>
      <c r="F344" s="420"/>
      <c r="G344" s="420"/>
      <c r="H344" s="420"/>
      <c r="I344" s="420"/>
    </row>
    <row r="345" spans="2:9" ht="12.75">
      <c r="B345" s="420"/>
      <c r="C345" s="420"/>
      <c r="D345" s="420"/>
      <c r="E345" s="420"/>
      <c r="F345" s="420"/>
      <c r="G345" s="420"/>
      <c r="H345" s="420"/>
      <c r="I345" s="420"/>
    </row>
    <row r="346" spans="2:9" ht="12.75">
      <c r="B346" s="420"/>
      <c r="C346" s="420"/>
      <c r="D346" s="420"/>
      <c r="E346" s="420"/>
      <c r="F346" s="420"/>
      <c r="G346" s="420"/>
      <c r="H346" s="420"/>
      <c r="I346" s="420"/>
    </row>
    <row r="347" spans="2:9" ht="12.75">
      <c r="B347" s="420"/>
      <c r="C347" s="420"/>
      <c r="D347" s="420"/>
      <c r="E347" s="420"/>
      <c r="F347" s="420"/>
      <c r="G347" s="420"/>
      <c r="H347" s="420"/>
      <c r="I347" s="420"/>
    </row>
    <row r="348" spans="2:9" ht="12.75">
      <c r="B348" s="420"/>
      <c r="C348" s="420"/>
      <c r="D348" s="420"/>
      <c r="E348" s="420"/>
      <c r="F348" s="420"/>
      <c r="G348" s="420"/>
      <c r="H348" s="420"/>
      <c r="I348" s="420"/>
    </row>
    <row r="349" spans="2:9" ht="12.75">
      <c r="B349" s="420"/>
      <c r="C349" s="420"/>
      <c r="D349" s="420"/>
      <c r="E349" s="420"/>
      <c r="F349" s="420"/>
      <c r="G349" s="420"/>
      <c r="H349" s="420"/>
      <c r="I349" s="420"/>
    </row>
    <row r="350" spans="2:9" ht="12.75">
      <c r="B350" s="420"/>
      <c r="C350" s="420"/>
      <c r="D350" s="420"/>
      <c r="E350" s="420"/>
      <c r="F350" s="420"/>
      <c r="G350" s="420"/>
      <c r="H350" s="420"/>
      <c r="I350" s="420"/>
    </row>
    <row r="351" spans="2:9" ht="12.75">
      <c r="B351" s="420"/>
      <c r="C351" s="420"/>
      <c r="D351" s="420"/>
      <c r="E351" s="420"/>
      <c r="F351" s="420"/>
      <c r="G351" s="420"/>
      <c r="H351" s="420"/>
      <c r="I351" s="420"/>
    </row>
    <row r="352" spans="2:9" ht="12.75">
      <c r="B352" s="420"/>
      <c r="C352" s="420"/>
      <c r="D352" s="420"/>
      <c r="E352" s="420"/>
      <c r="F352" s="420"/>
      <c r="G352" s="420"/>
      <c r="H352" s="420"/>
      <c r="I352" s="420"/>
    </row>
    <row r="353" spans="2:9" ht="12.75">
      <c r="B353" s="420"/>
      <c r="C353" s="420"/>
      <c r="D353" s="420"/>
      <c r="E353" s="420"/>
      <c r="F353" s="420"/>
      <c r="G353" s="420"/>
      <c r="H353" s="420"/>
      <c r="I353" s="420"/>
    </row>
    <row r="354" spans="2:9" ht="12.75">
      <c r="B354" s="420"/>
      <c r="C354" s="420"/>
      <c r="D354" s="420"/>
      <c r="E354" s="420"/>
      <c r="F354" s="420"/>
      <c r="G354" s="420"/>
      <c r="H354" s="420"/>
      <c r="I354" s="420"/>
    </row>
    <row r="355" spans="2:9" ht="12.75">
      <c r="B355" s="420"/>
      <c r="C355" s="420"/>
      <c r="D355" s="420"/>
      <c r="E355" s="420"/>
      <c r="F355" s="420"/>
      <c r="G355" s="420"/>
      <c r="H355" s="420"/>
      <c r="I355" s="420"/>
    </row>
    <row r="356" spans="2:9" ht="12.75">
      <c r="B356" s="420"/>
      <c r="C356" s="420"/>
      <c r="D356" s="420"/>
      <c r="E356" s="420"/>
      <c r="F356" s="420"/>
      <c r="G356" s="420"/>
      <c r="H356" s="420"/>
      <c r="I356" s="420"/>
    </row>
    <row r="357" spans="2:9" ht="12.75">
      <c r="B357" s="420"/>
      <c r="C357" s="420"/>
      <c r="D357" s="420"/>
      <c r="E357" s="420"/>
      <c r="F357" s="420"/>
      <c r="G357" s="420"/>
      <c r="H357" s="420"/>
      <c r="I357" s="420"/>
    </row>
    <row r="358" spans="2:9" ht="12.75">
      <c r="B358" s="420"/>
      <c r="C358" s="420"/>
      <c r="D358" s="420"/>
      <c r="E358" s="420"/>
      <c r="F358" s="420"/>
      <c r="G358" s="420"/>
      <c r="H358" s="420"/>
      <c r="I358" s="420"/>
    </row>
    <row r="359" spans="2:9" ht="12.75">
      <c r="B359" s="420"/>
      <c r="C359" s="420"/>
      <c r="D359" s="420"/>
      <c r="E359" s="420"/>
      <c r="F359" s="420"/>
      <c r="G359" s="420"/>
      <c r="H359" s="420"/>
      <c r="I359" s="420"/>
    </row>
    <row r="360" spans="2:9" ht="12.75">
      <c r="B360" s="420"/>
      <c r="C360" s="420"/>
      <c r="D360" s="420"/>
      <c r="E360" s="420"/>
      <c r="F360" s="420"/>
      <c r="G360" s="420"/>
      <c r="H360" s="420"/>
      <c r="I360" s="420"/>
    </row>
    <row r="361" spans="2:9" ht="12.75">
      <c r="B361" s="420"/>
      <c r="C361" s="420"/>
      <c r="D361" s="420"/>
      <c r="E361" s="420"/>
      <c r="F361" s="420"/>
      <c r="G361" s="420"/>
      <c r="H361" s="420"/>
      <c r="I361" s="420"/>
    </row>
    <row r="362" spans="2:9" ht="12.75">
      <c r="B362" s="420"/>
      <c r="C362" s="420"/>
      <c r="D362" s="420"/>
      <c r="E362" s="420"/>
      <c r="F362" s="420"/>
      <c r="G362" s="420"/>
      <c r="H362" s="420"/>
      <c r="I362" s="420"/>
    </row>
    <row r="363" spans="2:9" ht="12.75">
      <c r="B363" s="420"/>
      <c r="C363" s="420"/>
      <c r="D363" s="420"/>
      <c r="E363" s="420"/>
      <c r="F363" s="420"/>
      <c r="G363" s="420"/>
      <c r="H363" s="420"/>
      <c r="I363" s="420"/>
    </row>
    <row r="364" spans="2:9" ht="12.75">
      <c r="B364" s="420"/>
      <c r="C364" s="420"/>
      <c r="D364" s="420"/>
      <c r="E364" s="420"/>
      <c r="F364" s="420"/>
      <c r="G364" s="420"/>
      <c r="H364" s="420"/>
      <c r="I364" s="420"/>
    </row>
    <row r="365" spans="2:9" ht="12.75">
      <c r="B365" s="420"/>
      <c r="C365" s="420"/>
      <c r="D365" s="420"/>
      <c r="E365" s="420"/>
      <c r="F365" s="420"/>
      <c r="G365" s="420"/>
      <c r="H365" s="420"/>
      <c r="I365" s="420"/>
    </row>
    <row r="366" spans="2:9" ht="12.75">
      <c r="B366" s="420"/>
      <c r="C366" s="420"/>
      <c r="D366" s="420"/>
      <c r="E366" s="420"/>
      <c r="F366" s="420"/>
      <c r="G366" s="420"/>
      <c r="H366" s="420"/>
      <c r="I366" s="420"/>
    </row>
    <row r="367" spans="2:9" ht="12.75">
      <c r="B367" s="420"/>
      <c r="C367" s="420"/>
      <c r="D367" s="420"/>
      <c r="E367" s="420"/>
      <c r="F367" s="420"/>
      <c r="G367" s="420"/>
      <c r="H367" s="420"/>
      <c r="I367" s="420"/>
    </row>
    <row r="368" spans="2:9" ht="12.75">
      <c r="B368" s="420"/>
      <c r="C368" s="420"/>
      <c r="D368" s="420"/>
      <c r="E368" s="420"/>
      <c r="F368" s="420"/>
      <c r="G368" s="420"/>
      <c r="H368" s="420"/>
      <c r="I368" s="420"/>
    </row>
    <row r="369" spans="2:9" ht="12.75">
      <c r="B369" s="420"/>
      <c r="C369" s="420"/>
      <c r="D369" s="420"/>
      <c r="E369" s="420"/>
      <c r="F369" s="420"/>
      <c r="G369" s="420"/>
      <c r="H369" s="420"/>
      <c r="I369" s="420"/>
    </row>
    <row r="370" spans="2:9" ht="12.75">
      <c r="B370" s="420"/>
      <c r="C370" s="420"/>
      <c r="D370" s="420"/>
      <c r="E370" s="420"/>
      <c r="F370" s="420"/>
      <c r="G370" s="420"/>
      <c r="H370" s="420"/>
      <c r="I370" s="420"/>
    </row>
    <row r="371" spans="2:9" ht="12.75">
      <c r="B371" s="420"/>
      <c r="C371" s="420"/>
      <c r="D371" s="420"/>
      <c r="E371" s="420"/>
      <c r="F371" s="420"/>
      <c r="G371" s="420"/>
      <c r="H371" s="420"/>
      <c r="I371" s="420"/>
    </row>
    <row r="372" spans="2:9" ht="12.75">
      <c r="B372" s="420"/>
      <c r="C372" s="420"/>
      <c r="D372" s="420"/>
      <c r="E372" s="420"/>
      <c r="F372" s="420"/>
      <c r="G372" s="420"/>
      <c r="H372" s="420"/>
      <c r="I372" s="420"/>
    </row>
    <row r="373" spans="2:9" ht="12.75">
      <c r="B373" s="420"/>
      <c r="C373" s="420"/>
      <c r="D373" s="420"/>
      <c r="E373" s="420"/>
      <c r="F373" s="420"/>
      <c r="G373" s="420"/>
      <c r="H373" s="420"/>
      <c r="I373" s="420"/>
    </row>
    <row r="374" spans="2:9" ht="12.75">
      <c r="B374" s="420"/>
      <c r="C374" s="420"/>
      <c r="D374" s="420"/>
      <c r="E374" s="420"/>
      <c r="F374" s="420"/>
      <c r="G374" s="420"/>
      <c r="H374" s="420"/>
      <c r="I374" s="420"/>
    </row>
    <row r="375" spans="2:9" ht="12.75">
      <c r="B375" s="420"/>
      <c r="C375" s="420"/>
      <c r="D375" s="420"/>
      <c r="E375" s="420"/>
      <c r="F375" s="420"/>
      <c r="G375" s="420"/>
      <c r="H375" s="420"/>
      <c r="I375" s="420"/>
    </row>
    <row r="376" spans="2:9" ht="12.75">
      <c r="B376" s="420"/>
      <c r="C376" s="420"/>
      <c r="D376" s="420"/>
      <c r="E376" s="420"/>
      <c r="F376" s="420"/>
      <c r="G376" s="420"/>
      <c r="H376" s="420"/>
      <c r="I376" s="420"/>
    </row>
    <row r="377" spans="2:9" ht="12.75">
      <c r="B377" s="420"/>
      <c r="C377" s="420"/>
      <c r="D377" s="420"/>
      <c r="E377" s="420"/>
      <c r="F377" s="420"/>
      <c r="G377" s="420"/>
      <c r="H377" s="420"/>
      <c r="I377" s="420"/>
    </row>
    <row r="378" spans="2:9" ht="12.75">
      <c r="B378" s="420"/>
      <c r="C378" s="420"/>
      <c r="D378" s="420"/>
      <c r="E378" s="420"/>
      <c r="F378" s="420"/>
      <c r="G378" s="420"/>
      <c r="H378" s="420"/>
      <c r="I378" s="420"/>
    </row>
    <row r="379" spans="2:9" ht="12.75">
      <c r="B379" s="420"/>
      <c r="C379" s="420"/>
      <c r="D379" s="420"/>
      <c r="E379" s="420"/>
      <c r="F379" s="420"/>
      <c r="G379" s="420"/>
      <c r="H379" s="420"/>
      <c r="I379" s="420"/>
    </row>
    <row r="380" spans="2:9" ht="12.75">
      <c r="B380" s="420"/>
      <c r="C380" s="420"/>
      <c r="D380" s="420"/>
      <c r="E380" s="420"/>
      <c r="F380" s="420"/>
      <c r="G380" s="420"/>
      <c r="H380" s="420"/>
      <c r="I380" s="420"/>
    </row>
    <row r="381" spans="2:9" ht="12.75">
      <c r="B381" s="420"/>
      <c r="C381" s="420"/>
      <c r="D381" s="420"/>
      <c r="E381" s="420"/>
      <c r="F381" s="420"/>
      <c r="G381" s="420"/>
      <c r="H381" s="420"/>
      <c r="I381" s="420"/>
    </row>
    <row r="382" spans="2:9" ht="12.75">
      <c r="B382" s="420"/>
      <c r="C382" s="420"/>
      <c r="D382" s="420"/>
      <c r="E382" s="420"/>
      <c r="F382" s="420"/>
      <c r="G382" s="420"/>
      <c r="H382" s="420"/>
      <c r="I382" s="420"/>
    </row>
    <row r="383" spans="2:9" ht="12.75">
      <c r="B383" s="420"/>
      <c r="C383" s="420"/>
      <c r="D383" s="420"/>
      <c r="E383" s="420"/>
      <c r="F383" s="420"/>
      <c r="G383" s="420"/>
      <c r="H383" s="420"/>
      <c r="I383" s="420"/>
    </row>
    <row r="384" spans="2:9" ht="12.75">
      <c r="B384" s="420"/>
      <c r="C384" s="420"/>
      <c r="D384" s="420"/>
      <c r="E384" s="420"/>
      <c r="F384" s="420"/>
      <c r="G384" s="420"/>
      <c r="H384" s="420"/>
      <c r="I384" s="420"/>
    </row>
    <row r="385" spans="2:9" ht="12.75">
      <c r="B385" s="420"/>
      <c r="C385" s="420"/>
      <c r="D385" s="420"/>
      <c r="E385" s="420"/>
      <c r="F385" s="420"/>
      <c r="G385" s="420"/>
      <c r="H385" s="420"/>
      <c r="I385" s="420"/>
    </row>
    <row r="386" spans="2:9" ht="12.75">
      <c r="B386" s="420"/>
      <c r="C386" s="420"/>
      <c r="D386" s="420"/>
      <c r="E386" s="420"/>
      <c r="F386" s="420"/>
      <c r="G386" s="420"/>
      <c r="H386" s="420"/>
      <c r="I386" s="420"/>
    </row>
    <row r="387" spans="2:9" ht="12.75">
      <c r="B387" s="420"/>
      <c r="C387" s="420"/>
      <c r="D387" s="420"/>
      <c r="E387" s="420"/>
      <c r="F387" s="420"/>
      <c r="G387" s="420"/>
      <c r="H387" s="420"/>
      <c r="I387" s="420"/>
    </row>
    <row r="388" spans="2:9" ht="12.75">
      <c r="B388" s="420"/>
      <c r="C388" s="420"/>
      <c r="D388" s="420"/>
      <c r="E388" s="420"/>
      <c r="F388" s="420"/>
      <c r="G388" s="420"/>
      <c r="H388" s="420"/>
      <c r="I388" s="420"/>
    </row>
    <row r="389" spans="2:9" ht="12.75">
      <c r="B389" s="420"/>
      <c r="C389" s="420"/>
      <c r="D389" s="420"/>
      <c r="E389" s="420"/>
      <c r="F389" s="420"/>
      <c r="G389" s="420"/>
      <c r="H389" s="420"/>
      <c r="I389" s="420"/>
    </row>
    <row r="390" spans="2:9" ht="12.75">
      <c r="B390" s="420"/>
      <c r="C390" s="420"/>
      <c r="D390" s="420"/>
      <c r="E390" s="420"/>
      <c r="F390" s="420"/>
      <c r="G390" s="420"/>
      <c r="H390" s="420"/>
      <c r="I390" s="420"/>
    </row>
    <row r="391" spans="2:9" ht="12.75">
      <c r="B391" s="420"/>
      <c r="C391" s="420"/>
      <c r="D391" s="420"/>
      <c r="E391" s="420"/>
      <c r="F391" s="420"/>
      <c r="G391" s="420"/>
      <c r="H391" s="420"/>
      <c r="I391" s="420"/>
    </row>
    <row r="392" spans="2:9" ht="12.75">
      <c r="B392" s="420"/>
      <c r="C392" s="420"/>
      <c r="D392" s="420"/>
      <c r="E392" s="420"/>
      <c r="F392" s="420"/>
      <c r="G392" s="420"/>
      <c r="H392" s="420"/>
      <c r="I392" s="420"/>
    </row>
    <row r="393" spans="2:9" ht="12.75">
      <c r="B393" s="420"/>
      <c r="C393" s="420"/>
      <c r="D393" s="420"/>
      <c r="E393" s="420"/>
      <c r="F393" s="420"/>
      <c r="G393" s="420"/>
      <c r="H393" s="420"/>
      <c r="I393" s="420"/>
    </row>
    <row r="394" spans="2:9" ht="12.75">
      <c r="B394" s="420"/>
      <c r="C394" s="420"/>
      <c r="D394" s="420"/>
      <c r="E394" s="420"/>
      <c r="F394" s="420"/>
      <c r="G394" s="420"/>
      <c r="H394" s="420"/>
      <c r="I394" s="420"/>
    </row>
    <row r="395" spans="2:9" ht="12.75">
      <c r="B395" s="420"/>
      <c r="C395" s="420"/>
      <c r="D395" s="420"/>
      <c r="E395" s="420"/>
      <c r="F395" s="420"/>
      <c r="G395" s="420"/>
      <c r="H395" s="420"/>
      <c r="I395" s="420"/>
    </row>
    <row r="396" spans="2:9" ht="12.75">
      <c r="B396" s="420"/>
      <c r="C396" s="420"/>
      <c r="D396" s="420"/>
      <c r="E396" s="420"/>
      <c r="F396" s="420"/>
      <c r="G396" s="420"/>
      <c r="H396" s="420"/>
      <c r="I396" s="420"/>
    </row>
    <row r="397" spans="2:9" ht="12.75">
      <c r="B397" s="420"/>
      <c r="C397" s="420"/>
      <c r="D397" s="420"/>
      <c r="E397" s="420"/>
      <c r="F397" s="420"/>
      <c r="G397" s="420"/>
      <c r="H397" s="420"/>
      <c r="I397" s="420"/>
    </row>
    <row r="398" spans="2:9" ht="12.75">
      <c r="B398" s="420"/>
      <c r="C398" s="420"/>
      <c r="D398" s="420"/>
      <c r="E398" s="420"/>
      <c r="F398" s="420"/>
      <c r="G398" s="420"/>
      <c r="H398" s="420"/>
      <c r="I398" s="420"/>
    </row>
    <row r="399" spans="2:9" ht="12.75">
      <c r="B399" s="420"/>
      <c r="C399" s="420"/>
      <c r="D399" s="420"/>
      <c r="E399" s="420"/>
      <c r="F399" s="420"/>
      <c r="G399" s="420"/>
      <c r="H399" s="420"/>
      <c r="I399" s="420"/>
    </row>
    <row r="400" spans="2:9" ht="12.75">
      <c r="B400" s="420"/>
      <c r="C400" s="420"/>
      <c r="D400" s="420"/>
      <c r="E400" s="420"/>
      <c r="F400" s="420"/>
      <c r="G400" s="420"/>
      <c r="H400" s="420"/>
      <c r="I400" s="420"/>
    </row>
    <row r="401" spans="2:9" ht="12.75">
      <c r="B401" s="420"/>
      <c r="C401" s="420"/>
      <c r="D401" s="420"/>
      <c r="E401" s="420"/>
      <c r="F401" s="420"/>
      <c r="G401" s="420"/>
      <c r="H401" s="420"/>
      <c r="I401" s="420"/>
    </row>
    <row r="402" spans="2:9" ht="12.75">
      <c r="B402" s="420"/>
      <c r="C402" s="420"/>
      <c r="D402" s="420"/>
      <c r="E402" s="420"/>
      <c r="F402" s="420"/>
      <c r="G402" s="420"/>
      <c r="H402" s="420"/>
      <c r="I402" s="420"/>
    </row>
    <row r="403" spans="2:9" ht="12.75">
      <c r="B403" s="420"/>
      <c r="C403" s="420"/>
      <c r="D403" s="420"/>
      <c r="E403" s="420"/>
      <c r="F403" s="420"/>
      <c r="G403" s="420"/>
      <c r="H403" s="420"/>
      <c r="I403" s="420"/>
    </row>
    <row r="404" spans="2:9" ht="12.75">
      <c r="B404" s="420"/>
      <c r="C404" s="420"/>
      <c r="D404" s="420"/>
      <c r="E404" s="420"/>
      <c r="F404" s="420"/>
      <c r="G404" s="420"/>
      <c r="H404" s="420"/>
      <c r="I404" s="420"/>
    </row>
    <row r="405" spans="2:9" ht="12.75">
      <c r="B405" s="420"/>
      <c r="C405" s="420"/>
      <c r="D405" s="420"/>
      <c r="E405" s="420"/>
      <c r="F405" s="420"/>
      <c r="G405" s="420"/>
      <c r="H405" s="420"/>
      <c r="I405" s="420"/>
    </row>
    <row r="406" spans="2:9" ht="12.75">
      <c r="B406" s="420"/>
      <c r="C406" s="420"/>
      <c r="D406" s="420"/>
      <c r="E406" s="420"/>
      <c r="F406" s="420"/>
      <c r="G406" s="420"/>
      <c r="H406" s="420"/>
      <c r="I406" s="420"/>
    </row>
    <row r="407" spans="2:9" ht="12.75">
      <c r="B407" s="420"/>
      <c r="C407" s="420"/>
      <c r="D407" s="420"/>
      <c r="E407" s="420"/>
      <c r="F407" s="420"/>
      <c r="G407" s="420"/>
      <c r="H407" s="420"/>
      <c r="I407" s="420"/>
    </row>
    <row r="408" spans="2:9" ht="12.75">
      <c r="B408" s="420"/>
      <c r="C408" s="420"/>
      <c r="D408" s="420"/>
      <c r="E408" s="420"/>
      <c r="F408" s="420"/>
      <c r="G408" s="420"/>
      <c r="H408" s="420"/>
      <c r="I408" s="420"/>
    </row>
    <row r="409" spans="2:9" ht="12.75">
      <c r="B409" s="420"/>
      <c r="C409" s="420"/>
      <c r="D409" s="420"/>
      <c r="E409" s="420"/>
      <c r="F409" s="420"/>
      <c r="G409" s="420"/>
      <c r="H409" s="420"/>
      <c r="I409" s="420"/>
    </row>
    <row r="410" spans="2:9" ht="12.75">
      <c r="B410" s="420"/>
      <c r="C410" s="420"/>
      <c r="D410" s="420"/>
      <c r="E410" s="420"/>
      <c r="F410" s="420"/>
      <c r="G410" s="420"/>
      <c r="H410" s="420"/>
      <c r="I410" s="420"/>
    </row>
    <row r="411" spans="2:9" ht="12.75">
      <c r="B411" s="420"/>
      <c r="C411" s="420"/>
      <c r="D411" s="420"/>
      <c r="E411" s="420"/>
      <c r="F411" s="420"/>
      <c r="G411" s="420"/>
      <c r="H411" s="420"/>
      <c r="I411" s="420"/>
    </row>
    <row r="412" spans="2:9" ht="12.75">
      <c r="B412" s="420"/>
      <c r="C412" s="420"/>
      <c r="D412" s="420"/>
      <c r="E412" s="420"/>
      <c r="F412" s="420"/>
      <c r="G412" s="420"/>
      <c r="H412" s="420"/>
      <c r="I412" s="420"/>
    </row>
    <row r="413" spans="2:9" ht="12.75">
      <c r="B413" s="420"/>
      <c r="C413" s="420"/>
      <c r="D413" s="420"/>
      <c r="E413" s="420"/>
      <c r="F413" s="420"/>
      <c r="G413" s="420"/>
      <c r="H413" s="420"/>
      <c r="I413" s="420"/>
    </row>
    <row r="414" spans="2:9" ht="12.75">
      <c r="B414" s="420"/>
      <c r="C414" s="420"/>
      <c r="D414" s="420"/>
      <c r="E414" s="420"/>
      <c r="F414" s="420"/>
      <c r="G414" s="420"/>
      <c r="H414" s="420"/>
      <c r="I414" s="420"/>
    </row>
    <row r="415" spans="2:9" ht="12.75">
      <c r="B415" s="420"/>
      <c r="C415" s="420"/>
      <c r="D415" s="420"/>
      <c r="E415" s="420"/>
      <c r="F415" s="420"/>
      <c r="G415" s="420"/>
      <c r="H415" s="420"/>
      <c r="I415" s="420"/>
    </row>
    <row r="416" spans="2:9" ht="12.75">
      <c r="B416" s="420"/>
      <c r="C416" s="420"/>
      <c r="D416" s="420"/>
      <c r="E416" s="420"/>
      <c r="F416" s="420"/>
      <c r="G416" s="420"/>
      <c r="H416" s="420"/>
      <c r="I416" s="420"/>
    </row>
    <row r="417" spans="2:9" ht="12.75">
      <c r="B417" s="420"/>
      <c r="C417" s="420"/>
      <c r="D417" s="420"/>
      <c r="E417" s="420"/>
      <c r="F417" s="420"/>
      <c r="G417" s="420"/>
      <c r="H417" s="420"/>
      <c r="I417" s="420"/>
    </row>
    <row r="418" spans="2:9" ht="12.75">
      <c r="B418" s="420"/>
      <c r="C418" s="420"/>
      <c r="D418" s="420"/>
      <c r="E418" s="420"/>
      <c r="F418" s="420"/>
      <c r="G418" s="420"/>
      <c r="H418" s="420"/>
      <c r="I418" s="420"/>
    </row>
    <row r="419" spans="2:9" ht="12.75">
      <c r="B419" s="420"/>
      <c r="C419" s="420"/>
      <c r="D419" s="420"/>
      <c r="E419" s="420"/>
      <c r="F419" s="420"/>
      <c r="G419" s="420"/>
      <c r="H419" s="420"/>
      <c r="I419" s="420"/>
    </row>
    <row r="420" spans="2:9" ht="12.75">
      <c r="B420" s="420"/>
      <c r="C420" s="420"/>
      <c r="D420" s="420"/>
      <c r="E420" s="420"/>
      <c r="F420" s="420"/>
      <c r="G420" s="420"/>
      <c r="H420" s="420"/>
      <c r="I420" s="420"/>
    </row>
    <row r="421" spans="2:9" ht="12.75">
      <c r="B421" s="420"/>
      <c r="C421" s="420"/>
      <c r="D421" s="420"/>
      <c r="E421" s="420"/>
      <c r="F421" s="420"/>
      <c r="G421" s="420"/>
      <c r="H421" s="420"/>
      <c r="I421" s="420"/>
    </row>
    <row r="422" spans="2:9" ht="12.75">
      <c r="B422" s="420"/>
      <c r="C422" s="420"/>
      <c r="D422" s="420"/>
      <c r="E422" s="420"/>
      <c r="F422" s="420"/>
      <c r="G422" s="420"/>
      <c r="H422" s="420"/>
      <c r="I422" s="420"/>
    </row>
    <row r="423" spans="2:9" ht="12.75">
      <c r="B423" s="420"/>
      <c r="C423" s="420"/>
      <c r="D423" s="420"/>
      <c r="E423" s="420"/>
      <c r="F423" s="420"/>
      <c r="G423" s="420"/>
      <c r="H423" s="420"/>
      <c r="I423" s="420"/>
    </row>
    <row r="424" spans="2:9" ht="12.75">
      <c r="B424" s="420"/>
      <c r="C424" s="420"/>
      <c r="D424" s="420"/>
      <c r="E424" s="420"/>
      <c r="F424" s="420"/>
      <c r="G424" s="420"/>
      <c r="H424" s="420"/>
      <c r="I424" s="420"/>
    </row>
    <row r="425" spans="2:9" ht="12.75">
      <c r="B425" s="420"/>
      <c r="C425" s="420"/>
      <c r="D425" s="420"/>
      <c r="E425" s="420"/>
      <c r="F425" s="420"/>
      <c r="G425" s="420"/>
      <c r="H425" s="420"/>
      <c r="I425" s="420"/>
    </row>
    <row r="426" spans="2:9" ht="12.75">
      <c r="B426" s="420"/>
      <c r="C426" s="420"/>
      <c r="D426" s="420"/>
      <c r="E426" s="420"/>
      <c r="F426" s="420"/>
      <c r="G426" s="420"/>
      <c r="H426" s="420"/>
      <c r="I426" s="420"/>
    </row>
    <row r="427" spans="2:9" ht="12.75">
      <c r="B427" s="420"/>
      <c r="C427" s="420"/>
      <c r="D427" s="420"/>
      <c r="E427" s="420"/>
      <c r="F427" s="420"/>
      <c r="G427" s="420"/>
      <c r="H427" s="420"/>
      <c r="I427" s="420"/>
    </row>
    <row r="428" spans="2:9" ht="12.75">
      <c r="B428" s="420"/>
      <c r="C428" s="420"/>
      <c r="D428" s="420"/>
      <c r="E428" s="420"/>
      <c r="F428" s="420"/>
      <c r="G428" s="420"/>
      <c r="H428" s="420"/>
      <c r="I428" s="420"/>
    </row>
    <row r="429" spans="2:9" ht="12.75">
      <c r="B429" s="420"/>
      <c r="C429" s="420"/>
      <c r="D429" s="420"/>
      <c r="E429" s="420"/>
      <c r="F429" s="420"/>
      <c r="G429" s="420"/>
      <c r="H429" s="420"/>
      <c r="I429" s="420"/>
    </row>
    <row r="430" spans="2:9" ht="12.75">
      <c r="B430" s="420"/>
      <c r="C430" s="420"/>
      <c r="D430" s="420"/>
      <c r="E430" s="420"/>
      <c r="F430" s="420"/>
      <c r="G430" s="420"/>
      <c r="H430" s="420"/>
      <c r="I430" s="420"/>
    </row>
    <row r="431" spans="2:9" ht="12.75">
      <c r="B431" s="420"/>
      <c r="C431" s="420"/>
      <c r="D431" s="420"/>
      <c r="E431" s="420"/>
      <c r="F431" s="420"/>
      <c r="G431" s="420"/>
      <c r="H431" s="420"/>
      <c r="I431" s="420"/>
    </row>
    <row r="432" spans="2:9" ht="12.75">
      <c r="B432" s="420"/>
      <c r="C432" s="420"/>
      <c r="D432" s="420"/>
      <c r="E432" s="420"/>
      <c r="F432" s="420"/>
      <c r="G432" s="420"/>
      <c r="H432" s="420"/>
      <c r="I432" s="420"/>
    </row>
    <row r="433" spans="2:9" ht="12.75">
      <c r="B433" s="420"/>
      <c r="C433" s="420"/>
      <c r="D433" s="420"/>
      <c r="E433" s="420"/>
      <c r="F433" s="420"/>
      <c r="G433" s="420"/>
      <c r="H433" s="420"/>
      <c r="I433" s="420"/>
    </row>
    <row r="434" spans="2:9" ht="12.75">
      <c r="B434" s="420"/>
      <c r="C434" s="420"/>
      <c r="D434" s="420"/>
      <c r="E434" s="420"/>
      <c r="F434" s="420"/>
      <c r="G434" s="420"/>
      <c r="H434" s="420"/>
      <c r="I434" s="420"/>
    </row>
    <row r="435" spans="2:9" ht="12.75">
      <c r="B435" s="420"/>
      <c r="C435" s="420"/>
      <c r="D435" s="420"/>
      <c r="E435" s="420"/>
      <c r="F435" s="420"/>
      <c r="G435" s="420"/>
      <c r="H435" s="420"/>
      <c r="I435" s="420"/>
    </row>
    <row r="436" spans="2:9" ht="12.75">
      <c r="B436" s="420"/>
      <c r="C436" s="420"/>
      <c r="D436" s="420"/>
      <c r="E436" s="420"/>
      <c r="F436" s="420"/>
      <c r="G436" s="420"/>
      <c r="H436" s="420"/>
      <c r="I436" s="420"/>
    </row>
    <row r="437" spans="2:9" ht="12.75">
      <c r="B437" s="420"/>
      <c r="C437" s="420"/>
      <c r="D437" s="420"/>
      <c r="E437" s="420"/>
      <c r="F437" s="420"/>
      <c r="G437" s="420"/>
      <c r="H437" s="420"/>
      <c r="I437" s="420"/>
    </row>
    <row r="438" spans="2:9" ht="12.75">
      <c r="B438" s="420"/>
      <c r="C438" s="420"/>
      <c r="D438" s="420"/>
      <c r="E438" s="420"/>
      <c r="F438" s="420"/>
      <c r="G438" s="420"/>
      <c r="H438" s="420"/>
      <c r="I438" s="420"/>
    </row>
    <row r="439" spans="2:9" ht="12.75">
      <c r="B439" s="420"/>
      <c r="C439" s="420"/>
      <c r="D439" s="420"/>
      <c r="E439" s="420"/>
      <c r="F439" s="420"/>
      <c r="G439" s="420"/>
      <c r="H439" s="420"/>
      <c r="I439" s="420"/>
    </row>
    <row r="440" spans="2:9" ht="12.75">
      <c r="B440" s="420"/>
      <c r="C440" s="420"/>
      <c r="D440" s="420"/>
      <c r="E440" s="420"/>
      <c r="F440" s="420"/>
      <c r="G440" s="420"/>
      <c r="H440" s="420"/>
      <c r="I440" s="420"/>
    </row>
    <row r="441" spans="2:9" ht="12.75">
      <c r="B441" s="420"/>
      <c r="C441" s="420"/>
      <c r="D441" s="420"/>
      <c r="E441" s="420"/>
      <c r="F441" s="420"/>
      <c r="G441" s="420"/>
      <c r="H441" s="420"/>
      <c r="I441" s="420"/>
    </row>
    <row r="442" spans="2:9" ht="12.75">
      <c r="B442" s="420"/>
      <c r="C442" s="420"/>
      <c r="D442" s="420"/>
      <c r="E442" s="420"/>
      <c r="F442" s="420"/>
      <c r="G442" s="420"/>
      <c r="H442" s="420"/>
      <c r="I442" s="420"/>
    </row>
    <row r="443" spans="2:9" ht="12.75">
      <c r="B443" s="420"/>
      <c r="C443" s="420"/>
      <c r="D443" s="420"/>
      <c r="E443" s="420"/>
      <c r="F443" s="420"/>
      <c r="G443" s="420"/>
      <c r="H443" s="420"/>
      <c r="I443" s="420"/>
    </row>
    <row r="444" spans="2:9" ht="12.75">
      <c r="B444" s="420"/>
      <c r="C444" s="420"/>
      <c r="D444" s="420"/>
      <c r="E444" s="420"/>
      <c r="F444" s="420"/>
      <c r="G444" s="420"/>
      <c r="H444" s="420"/>
      <c r="I444" s="420"/>
    </row>
    <row r="445" spans="2:9" ht="12.75">
      <c r="B445" s="420"/>
      <c r="C445" s="420"/>
      <c r="D445" s="420"/>
      <c r="E445" s="420"/>
      <c r="F445" s="420"/>
      <c r="G445" s="420"/>
      <c r="H445" s="420"/>
      <c r="I445" s="420"/>
    </row>
    <row r="446" spans="2:9" ht="12.75">
      <c r="B446" s="420"/>
      <c r="C446" s="420"/>
      <c r="D446" s="420"/>
      <c r="E446" s="420"/>
      <c r="F446" s="420"/>
      <c r="G446" s="420"/>
      <c r="H446" s="420"/>
      <c r="I446" s="420"/>
    </row>
    <row r="447" spans="2:9" ht="12.75">
      <c r="B447" s="420"/>
      <c r="C447" s="420"/>
      <c r="D447" s="420"/>
      <c r="E447" s="420"/>
      <c r="F447" s="420"/>
      <c r="G447" s="420"/>
      <c r="H447" s="420"/>
      <c r="I447" s="420"/>
    </row>
    <row r="448" spans="2:9" ht="12.75">
      <c r="B448" s="420"/>
      <c r="C448" s="420"/>
      <c r="D448" s="420"/>
      <c r="E448" s="420"/>
      <c r="F448" s="420"/>
      <c r="G448" s="420"/>
      <c r="H448" s="420"/>
      <c r="I448" s="420"/>
    </row>
    <row r="449" spans="2:9" ht="12.75">
      <c r="B449" s="420"/>
      <c r="C449" s="420"/>
      <c r="D449" s="420"/>
      <c r="E449" s="420"/>
      <c r="F449" s="420"/>
      <c r="G449" s="420"/>
      <c r="H449" s="420"/>
      <c r="I449" s="420"/>
    </row>
    <row r="450" spans="2:9" ht="12.75">
      <c r="B450" s="420"/>
      <c r="C450" s="420"/>
      <c r="D450" s="420"/>
      <c r="E450" s="420"/>
      <c r="F450" s="420"/>
      <c r="G450" s="420"/>
      <c r="H450" s="420"/>
      <c r="I450" s="420"/>
    </row>
    <row r="451" spans="2:9" ht="12.75">
      <c r="B451" s="420"/>
      <c r="C451" s="420"/>
      <c r="D451" s="420"/>
      <c r="E451" s="420"/>
      <c r="F451" s="420"/>
      <c r="G451" s="420"/>
      <c r="H451" s="420"/>
      <c r="I451" s="420"/>
    </row>
    <row r="452" spans="2:9" ht="12.75">
      <c r="B452" s="420"/>
      <c r="C452" s="420"/>
      <c r="D452" s="420"/>
      <c r="E452" s="420"/>
      <c r="F452" s="420"/>
      <c r="G452" s="420"/>
      <c r="H452" s="420"/>
      <c r="I452" s="420"/>
    </row>
    <row r="453" spans="2:9" ht="12.75">
      <c r="B453" s="420"/>
      <c r="C453" s="420"/>
      <c r="D453" s="420"/>
      <c r="E453" s="420"/>
      <c r="F453" s="420"/>
      <c r="G453" s="420"/>
      <c r="H453" s="420"/>
      <c r="I453" s="420"/>
    </row>
    <row r="454" spans="2:9" ht="12.75">
      <c r="B454" s="420"/>
      <c r="C454" s="420"/>
      <c r="D454" s="420"/>
      <c r="E454" s="420"/>
      <c r="F454" s="420"/>
      <c r="G454" s="420"/>
      <c r="H454" s="420"/>
      <c r="I454" s="420"/>
    </row>
    <row r="455" spans="2:9" ht="12.75">
      <c r="B455" s="420"/>
      <c r="C455" s="420"/>
      <c r="D455" s="420"/>
      <c r="E455" s="420"/>
      <c r="F455" s="420"/>
      <c r="G455" s="420"/>
      <c r="H455" s="420"/>
      <c r="I455" s="420"/>
    </row>
    <row r="456" spans="2:9" ht="12.75">
      <c r="B456" s="420"/>
      <c r="C456" s="420"/>
      <c r="D456" s="420"/>
      <c r="E456" s="420"/>
      <c r="F456" s="420"/>
      <c r="G456" s="420"/>
      <c r="H456" s="420"/>
      <c r="I456" s="420"/>
    </row>
    <row r="457" spans="2:9" ht="12.75">
      <c r="B457" s="420"/>
      <c r="C457" s="420"/>
      <c r="D457" s="420"/>
      <c r="E457" s="420"/>
      <c r="F457" s="420"/>
      <c r="G457" s="420"/>
      <c r="H457" s="420"/>
      <c r="I457" s="420"/>
    </row>
    <row r="458" spans="2:9" ht="12.75">
      <c r="B458" s="420"/>
      <c r="C458" s="420"/>
      <c r="D458" s="420"/>
      <c r="E458" s="420"/>
      <c r="F458" s="420"/>
      <c r="G458" s="420"/>
      <c r="H458" s="420"/>
      <c r="I458" s="420"/>
    </row>
    <row r="459" spans="2:9" ht="12.75">
      <c r="B459" s="420"/>
      <c r="C459" s="420"/>
      <c r="D459" s="420"/>
      <c r="E459" s="420"/>
      <c r="F459" s="420"/>
      <c r="G459" s="420"/>
      <c r="H459" s="420"/>
      <c r="I459" s="420"/>
    </row>
    <row r="460" spans="2:9" ht="12.75">
      <c r="B460" s="420"/>
      <c r="C460" s="420"/>
      <c r="D460" s="420"/>
      <c r="E460" s="420"/>
      <c r="F460" s="420"/>
      <c r="G460" s="420"/>
      <c r="H460" s="420"/>
      <c r="I460" s="420"/>
    </row>
    <row r="461" spans="2:9" ht="12.75">
      <c r="B461" s="420"/>
      <c r="C461" s="420"/>
      <c r="D461" s="420"/>
      <c r="E461" s="420"/>
      <c r="F461" s="420"/>
      <c r="G461" s="420"/>
      <c r="H461" s="420"/>
      <c r="I461" s="420"/>
    </row>
    <row r="462" spans="2:9" ht="12.75">
      <c r="B462" s="420"/>
      <c r="C462" s="420"/>
      <c r="D462" s="420"/>
      <c r="E462" s="420"/>
      <c r="F462" s="420"/>
      <c r="G462" s="420"/>
      <c r="H462" s="420"/>
      <c r="I462" s="420"/>
    </row>
    <row r="463" spans="2:9" ht="12.75">
      <c r="B463" s="420"/>
      <c r="C463" s="420"/>
      <c r="D463" s="420"/>
      <c r="E463" s="420"/>
      <c r="F463" s="420"/>
      <c r="G463" s="420"/>
      <c r="H463" s="420"/>
      <c r="I463" s="420"/>
    </row>
    <row r="464" spans="2:9" ht="12.75">
      <c r="B464" s="420"/>
      <c r="C464" s="420"/>
      <c r="D464" s="420"/>
      <c r="E464" s="420"/>
      <c r="F464" s="420"/>
      <c r="G464" s="420"/>
      <c r="H464" s="420"/>
      <c r="I464" s="420"/>
    </row>
    <row r="465" spans="2:9" ht="12.75">
      <c r="B465" s="420"/>
      <c r="C465" s="420"/>
      <c r="D465" s="420"/>
      <c r="E465" s="420"/>
      <c r="F465" s="420"/>
      <c r="G465" s="420"/>
      <c r="H465" s="420"/>
      <c r="I465" s="420"/>
    </row>
    <row r="466" spans="2:9" ht="12.75">
      <c r="B466" s="420"/>
      <c r="C466" s="420"/>
      <c r="D466" s="420"/>
      <c r="E466" s="420"/>
      <c r="F466" s="420"/>
      <c r="G466" s="420"/>
      <c r="H466" s="420"/>
      <c r="I466" s="420"/>
    </row>
    <row r="467" spans="2:9" ht="12.75">
      <c r="B467" s="420"/>
      <c r="C467" s="420"/>
      <c r="D467" s="420"/>
      <c r="E467" s="420"/>
      <c r="F467" s="420"/>
      <c r="G467" s="420"/>
      <c r="H467" s="420"/>
      <c r="I467" s="420"/>
    </row>
    <row r="468" spans="2:9" ht="12.75">
      <c r="B468" s="420"/>
      <c r="C468" s="420"/>
      <c r="D468" s="420"/>
      <c r="E468" s="420"/>
      <c r="F468" s="420"/>
      <c r="G468" s="420"/>
      <c r="H468" s="420"/>
      <c r="I468" s="420"/>
    </row>
    <row r="469" spans="2:9" ht="12.75">
      <c r="B469" s="420"/>
      <c r="C469" s="420"/>
      <c r="D469" s="420"/>
      <c r="E469" s="420"/>
      <c r="F469" s="420"/>
      <c r="G469" s="420"/>
      <c r="H469" s="420"/>
      <c r="I469" s="420"/>
    </row>
    <row r="470" spans="2:9" ht="12.75">
      <c r="B470" s="420"/>
      <c r="C470" s="420"/>
      <c r="D470" s="420"/>
      <c r="E470" s="420"/>
      <c r="F470" s="420"/>
      <c r="G470" s="420"/>
      <c r="H470" s="420"/>
      <c r="I470" s="420"/>
    </row>
    <row r="471" spans="2:9" ht="12.75">
      <c r="B471" s="420"/>
      <c r="C471" s="420"/>
      <c r="D471" s="420"/>
      <c r="E471" s="420"/>
      <c r="F471" s="420"/>
      <c r="G471" s="420"/>
      <c r="H471" s="420"/>
      <c r="I471" s="420"/>
    </row>
    <row r="472" spans="2:9" ht="12.75">
      <c r="B472" s="420"/>
      <c r="C472" s="420"/>
      <c r="D472" s="420"/>
      <c r="E472" s="420"/>
      <c r="F472" s="420"/>
      <c r="G472" s="420"/>
      <c r="H472" s="420"/>
      <c r="I472" s="420"/>
    </row>
    <row r="473" spans="2:9" ht="12.75">
      <c r="B473" s="420"/>
      <c r="C473" s="420"/>
      <c r="D473" s="420"/>
      <c r="E473" s="420"/>
      <c r="F473" s="420"/>
      <c r="G473" s="420"/>
      <c r="H473" s="420"/>
      <c r="I473" s="420"/>
    </row>
    <row r="474" spans="2:9" ht="12.75">
      <c r="B474" s="420"/>
      <c r="C474" s="420"/>
      <c r="D474" s="420"/>
      <c r="E474" s="420"/>
      <c r="F474" s="420"/>
      <c r="G474" s="420"/>
      <c r="H474" s="420"/>
      <c r="I474" s="420"/>
    </row>
    <row r="475" spans="2:9" ht="12.75">
      <c r="B475" s="420"/>
      <c r="C475" s="420"/>
      <c r="D475" s="420"/>
      <c r="E475" s="420"/>
      <c r="F475" s="420"/>
      <c r="G475" s="420"/>
      <c r="H475" s="420"/>
      <c r="I475" s="420"/>
    </row>
    <row r="476" spans="2:9" ht="12.75">
      <c r="B476" s="420"/>
      <c r="C476" s="420"/>
      <c r="D476" s="420"/>
      <c r="E476" s="420"/>
      <c r="F476" s="420"/>
      <c r="G476" s="420"/>
      <c r="H476" s="420"/>
      <c r="I476" s="420"/>
    </row>
    <row r="477" spans="2:9" ht="12.75">
      <c r="B477" s="420"/>
      <c r="C477" s="420"/>
      <c r="D477" s="420"/>
      <c r="E477" s="420"/>
      <c r="F477" s="420"/>
      <c r="G477" s="420"/>
      <c r="H477" s="420"/>
      <c r="I477" s="420"/>
    </row>
    <row r="478" spans="2:9" ht="12.75">
      <c r="B478" s="420"/>
      <c r="C478" s="420"/>
      <c r="D478" s="420"/>
      <c r="E478" s="420"/>
      <c r="F478" s="420"/>
      <c r="G478" s="420"/>
      <c r="H478" s="420"/>
      <c r="I478" s="420"/>
    </row>
    <row r="479" spans="2:9" ht="12.75">
      <c r="B479" s="420"/>
      <c r="C479" s="420"/>
      <c r="D479" s="420"/>
      <c r="E479" s="420"/>
      <c r="F479" s="420"/>
      <c r="G479" s="420"/>
      <c r="H479" s="420"/>
      <c r="I479" s="420"/>
    </row>
    <row r="480" spans="2:9" ht="12.75">
      <c r="B480" s="420"/>
      <c r="C480" s="420"/>
      <c r="D480" s="420"/>
      <c r="E480" s="420"/>
      <c r="F480" s="420"/>
      <c r="G480" s="420"/>
      <c r="H480" s="420"/>
      <c r="I480" s="420"/>
    </row>
    <row r="481" spans="2:9" ht="12.75">
      <c r="B481" s="420"/>
      <c r="C481" s="420"/>
      <c r="D481" s="420"/>
      <c r="E481" s="420"/>
      <c r="F481" s="420"/>
      <c r="G481" s="420"/>
      <c r="H481" s="420"/>
      <c r="I481" s="420"/>
    </row>
    <row r="482" spans="2:9" ht="12.75">
      <c r="B482" s="420"/>
      <c r="C482" s="420"/>
      <c r="D482" s="420"/>
      <c r="E482" s="420"/>
      <c r="F482" s="420"/>
      <c r="G482" s="420"/>
      <c r="H482" s="420"/>
      <c r="I482" s="420"/>
    </row>
    <row r="483" spans="2:9" ht="12.75">
      <c r="B483" s="420"/>
      <c r="C483" s="420"/>
      <c r="D483" s="420"/>
      <c r="E483" s="420"/>
      <c r="F483" s="420"/>
      <c r="G483" s="420"/>
      <c r="H483" s="420"/>
      <c r="I483" s="420"/>
    </row>
    <row r="484" spans="2:9" ht="12.75">
      <c r="B484" s="420"/>
      <c r="C484" s="420"/>
      <c r="D484" s="420"/>
      <c r="E484" s="420"/>
      <c r="F484" s="420"/>
      <c r="G484" s="420"/>
      <c r="H484" s="420"/>
      <c r="I484" s="420"/>
    </row>
    <row r="485" spans="2:9" ht="12.75">
      <c r="B485" s="420"/>
      <c r="C485" s="420"/>
      <c r="D485" s="420"/>
      <c r="E485" s="420"/>
      <c r="F485" s="420"/>
      <c r="G485" s="420"/>
      <c r="H485" s="420"/>
      <c r="I485" s="420"/>
    </row>
    <row r="486" spans="2:9" ht="12.75">
      <c r="B486" s="420"/>
      <c r="C486" s="420"/>
      <c r="D486" s="420"/>
      <c r="E486" s="420"/>
      <c r="F486" s="420"/>
      <c r="G486" s="420"/>
      <c r="H486" s="420"/>
      <c r="I486" s="420"/>
    </row>
    <row r="487" spans="2:9" ht="12.75">
      <c r="B487" s="420"/>
      <c r="C487" s="420"/>
      <c r="D487" s="420"/>
      <c r="E487" s="420"/>
      <c r="F487" s="420"/>
      <c r="G487" s="420"/>
      <c r="H487" s="420"/>
      <c r="I487" s="420"/>
    </row>
    <row r="488" spans="2:9" ht="12.75">
      <c r="B488" s="420"/>
      <c r="C488" s="420"/>
      <c r="D488" s="420"/>
      <c r="E488" s="420"/>
      <c r="F488" s="420"/>
      <c r="G488" s="420"/>
      <c r="H488" s="420"/>
      <c r="I488" s="420"/>
    </row>
    <row r="489" spans="2:9" ht="12.75">
      <c r="B489" s="420"/>
      <c r="C489" s="420"/>
      <c r="D489" s="420"/>
      <c r="E489" s="420"/>
      <c r="F489" s="420"/>
      <c r="G489" s="420"/>
      <c r="H489" s="420"/>
      <c r="I489" s="420"/>
    </row>
    <row r="490" spans="2:9" ht="12.75">
      <c r="B490" s="420"/>
      <c r="C490" s="420"/>
      <c r="D490" s="420"/>
      <c r="E490" s="420"/>
      <c r="F490" s="420"/>
      <c r="G490" s="420"/>
      <c r="H490" s="420"/>
      <c r="I490" s="420"/>
    </row>
    <row r="491" spans="2:9" ht="12.75">
      <c r="B491" s="420"/>
      <c r="C491" s="420"/>
      <c r="D491" s="420"/>
      <c r="E491" s="420"/>
      <c r="F491" s="420"/>
      <c r="G491" s="420"/>
      <c r="H491" s="420"/>
      <c r="I491" s="420"/>
    </row>
    <row r="492" spans="2:9" ht="12.75">
      <c r="B492" s="420"/>
      <c r="C492" s="420"/>
      <c r="D492" s="420"/>
      <c r="E492" s="420"/>
      <c r="F492" s="420"/>
      <c r="G492" s="420"/>
      <c r="H492" s="420"/>
      <c r="I492" s="420"/>
    </row>
    <row r="493" spans="2:9" ht="12.75">
      <c r="B493" s="420"/>
      <c r="C493" s="420"/>
      <c r="D493" s="420"/>
      <c r="E493" s="420"/>
      <c r="F493" s="420"/>
      <c r="G493" s="420"/>
      <c r="H493" s="420"/>
      <c r="I493" s="420"/>
    </row>
    <row r="494" spans="2:9" ht="12.75">
      <c r="B494" s="420"/>
      <c r="C494" s="420"/>
      <c r="D494" s="420"/>
      <c r="E494" s="420"/>
      <c r="F494" s="420"/>
      <c r="G494" s="420"/>
      <c r="H494" s="420"/>
      <c r="I494" s="420"/>
    </row>
    <row r="495" spans="2:9" ht="12.75">
      <c r="B495" s="420"/>
      <c r="C495" s="420"/>
      <c r="D495" s="420"/>
      <c r="E495" s="420"/>
      <c r="F495" s="420"/>
      <c r="G495" s="420"/>
      <c r="H495" s="420"/>
      <c r="I495" s="420"/>
    </row>
    <row r="496" spans="2:9" ht="12.75">
      <c r="B496" s="420"/>
      <c r="C496" s="420"/>
      <c r="D496" s="420"/>
      <c r="E496" s="420"/>
      <c r="F496" s="420"/>
      <c r="G496" s="420"/>
      <c r="H496" s="420"/>
      <c r="I496" s="420"/>
    </row>
    <row r="497" spans="2:9" ht="12.75">
      <c r="B497" s="420"/>
      <c r="C497" s="420"/>
      <c r="D497" s="420"/>
      <c r="E497" s="420"/>
      <c r="F497" s="420"/>
      <c r="G497" s="420"/>
      <c r="H497" s="420"/>
      <c r="I497" s="420"/>
    </row>
    <row r="498" spans="2:9" ht="12.75">
      <c r="B498" s="420"/>
      <c r="C498" s="420"/>
      <c r="D498" s="420"/>
      <c r="E498" s="420"/>
      <c r="F498" s="420"/>
      <c r="G498" s="420"/>
      <c r="H498" s="420"/>
      <c r="I498" s="420"/>
    </row>
    <row r="499" spans="2:9" ht="12.75">
      <c r="B499" s="420"/>
      <c r="C499" s="420"/>
      <c r="D499" s="420"/>
      <c r="E499" s="420"/>
      <c r="F499" s="420"/>
      <c r="G499" s="420"/>
      <c r="H499" s="420"/>
      <c r="I499" s="420"/>
    </row>
    <row r="500" spans="2:9" ht="12.75">
      <c r="B500" s="420"/>
      <c r="C500" s="420"/>
      <c r="D500" s="420"/>
      <c r="E500" s="420"/>
      <c r="F500" s="420"/>
      <c r="G500" s="420"/>
      <c r="H500" s="420"/>
      <c r="I500" s="420"/>
    </row>
    <row r="501" spans="2:9" ht="12.75">
      <c r="B501" s="420"/>
      <c r="C501" s="420"/>
      <c r="D501" s="420"/>
      <c r="E501" s="420"/>
      <c r="F501" s="420"/>
      <c r="G501" s="420"/>
      <c r="H501" s="420"/>
      <c r="I501" s="420"/>
    </row>
    <row r="502" spans="2:9" ht="12.75">
      <c r="B502" s="420"/>
      <c r="C502" s="420"/>
      <c r="D502" s="420"/>
      <c r="E502" s="420"/>
      <c r="F502" s="420"/>
      <c r="G502" s="420"/>
      <c r="H502" s="420"/>
      <c r="I502" s="420"/>
    </row>
    <row r="503" spans="2:9" ht="12.75">
      <c r="B503" s="420"/>
      <c r="C503" s="420"/>
      <c r="D503" s="420"/>
      <c r="E503" s="420"/>
      <c r="F503" s="420"/>
      <c r="G503" s="420"/>
      <c r="H503" s="420"/>
      <c r="I503" s="420"/>
    </row>
    <row r="504" spans="2:9" ht="12.75">
      <c r="B504" s="420"/>
      <c r="C504" s="420"/>
      <c r="D504" s="420"/>
      <c r="E504" s="420"/>
      <c r="F504" s="420"/>
      <c r="G504" s="420"/>
      <c r="H504" s="420"/>
      <c r="I504" s="420"/>
    </row>
    <row r="505" spans="2:9" ht="12.75">
      <c r="B505" s="420"/>
      <c r="C505" s="420"/>
      <c r="D505" s="420"/>
      <c r="E505" s="420"/>
      <c r="F505" s="420"/>
      <c r="G505" s="420"/>
      <c r="H505" s="420"/>
      <c r="I505" s="420"/>
    </row>
    <row r="506" spans="2:9" ht="12.75">
      <c r="B506" s="420"/>
      <c r="C506" s="420"/>
      <c r="D506" s="420"/>
      <c r="E506" s="420"/>
      <c r="F506" s="420"/>
      <c r="G506" s="420"/>
      <c r="H506" s="420"/>
      <c r="I506" s="420"/>
    </row>
    <row r="507" spans="2:9" ht="12.75">
      <c r="B507" s="420"/>
      <c r="C507" s="420"/>
      <c r="D507" s="420"/>
      <c r="E507" s="420"/>
      <c r="F507" s="420"/>
      <c r="G507" s="420"/>
      <c r="H507" s="420"/>
      <c r="I507" s="420"/>
    </row>
    <row r="508" spans="2:9" ht="12.75">
      <c r="B508" s="420"/>
      <c r="C508" s="420"/>
      <c r="D508" s="420"/>
      <c r="E508" s="420"/>
      <c r="F508" s="420"/>
      <c r="G508" s="420"/>
      <c r="H508" s="420"/>
      <c r="I508" s="420"/>
    </row>
    <row r="509" spans="2:9" ht="12.75">
      <c r="B509" s="420"/>
      <c r="C509" s="420"/>
      <c r="D509" s="420"/>
      <c r="E509" s="420"/>
      <c r="F509" s="420"/>
      <c r="G509" s="420"/>
      <c r="H509" s="420"/>
      <c r="I509" s="420"/>
    </row>
    <row r="510" spans="2:9" ht="12.75">
      <c r="B510" s="420"/>
      <c r="C510" s="420"/>
      <c r="D510" s="420"/>
      <c r="E510" s="420"/>
      <c r="F510" s="420"/>
      <c r="G510" s="420"/>
      <c r="H510" s="420"/>
      <c r="I510" s="420"/>
    </row>
    <row r="511" spans="2:9" ht="12.75">
      <c r="B511" s="420"/>
      <c r="C511" s="420"/>
      <c r="D511" s="420"/>
      <c r="E511" s="420"/>
      <c r="F511" s="420"/>
      <c r="G511" s="420"/>
      <c r="H511" s="420"/>
      <c r="I511" s="420"/>
    </row>
    <row r="512" spans="2:9" ht="12.75">
      <c r="B512" s="420"/>
      <c r="C512" s="420"/>
      <c r="D512" s="420"/>
      <c r="E512" s="420"/>
      <c r="F512" s="420"/>
      <c r="G512" s="420"/>
      <c r="H512" s="420"/>
      <c r="I512" s="420"/>
    </row>
    <row r="513" spans="2:9" ht="12.75">
      <c r="B513" s="420"/>
      <c r="C513" s="420"/>
      <c r="D513" s="420"/>
      <c r="E513" s="420"/>
      <c r="F513" s="420"/>
      <c r="G513" s="420"/>
      <c r="H513" s="420"/>
      <c r="I513" s="420"/>
    </row>
    <row r="514" spans="2:9" ht="12.75">
      <c r="B514" s="420"/>
      <c r="C514" s="420"/>
      <c r="D514" s="420"/>
      <c r="E514" s="420"/>
      <c r="F514" s="420"/>
      <c r="G514" s="420"/>
      <c r="H514" s="420"/>
      <c r="I514" s="420"/>
    </row>
    <row r="515" spans="2:9" ht="12.75">
      <c r="B515" s="420"/>
      <c r="C515" s="420"/>
      <c r="D515" s="420"/>
      <c r="E515" s="420"/>
      <c r="F515" s="420"/>
      <c r="G515" s="420"/>
      <c r="H515" s="420"/>
      <c r="I515" s="420"/>
    </row>
    <row r="516" spans="2:9" ht="12.75">
      <c r="B516" s="420"/>
      <c r="C516" s="420"/>
      <c r="D516" s="420"/>
      <c r="E516" s="420"/>
      <c r="F516" s="420"/>
      <c r="G516" s="420"/>
      <c r="H516" s="420"/>
      <c r="I516" s="420"/>
    </row>
    <row r="517" spans="2:9" ht="12.75">
      <c r="B517" s="420"/>
      <c r="C517" s="420"/>
      <c r="D517" s="420"/>
      <c r="E517" s="420"/>
      <c r="F517" s="420"/>
      <c r="G517" s="420"/>
      <c r="H517" s="420"/>
      <c r="I517" s="420"/>
    </row>
    <row r="518" spans="2:9" ht="12.75">
      <c r="B518" s="420"/>
      <c r="C518" s="420"/>
      <c r="D518" s="420"/>
      <c r="E518" s="420"/>
      <c r="F518" s="420"/>
      <c r="G518" s="420"/>
      <c r="H518" s="420"/>
      <c r="I518" s="420"/>
    </row>
    <row r="519" spans="2:9" ht="12.75">
      <c r="B519" s="420"/>
      <c r="C519" s="420"/>
      <c r="D519" s="420"/>
      <c r="E519" s="420"/>
      <c r="F519" s="420"/>
      <c r="G519" s="420"/>
      <c r="H519" s="420"/>
      <c r="I519" s="420"/>
    </row>
    <row r="520" spans="2:9" ht="12.75">
      <c r="B520" s="420"/>
      <c r="C520" s="420"/>
      <c r="D520" s="420"/>
      <c r="E520" s="420"/>
      <c r="F520" s="420"/>
      <c r="G520" s="420"/>
      <c r="H520" s="420"/>
      <c r="I520" s="420"/>
    </row>
    <row r="521" spans="2:9" ht="12.75">
      <c r="B521" s="420"/>
      <c r="C521" s="420"/>
      <c r="D521" s="420"/>
      <c r="E521" s="420"/>
      <c r="F521" s="420"/>
      <c r="G521" s="420"/>
      <c r="H521" s="420"/>
      <c r="I521" s="420"/>
    </row>
    <row r="522" spans="2:9" ht="12.75">
      <c r="B522" s="420"/>
      <c r="C522" s="420"/>
      <c r="D522" s="420"/>
      <c r="E522" s="420"/>
      <c r="F522" s="420"/>
      <c r="G522" s="420"/>
      <c r="H522" s="420"/>
      <c r="I522" s="420"/>
    </row>
    <row r="523" spans="2:9" ht="12.75">
      <c r="B523" s="420"/>
      <c r="C523" s="420"/>
      <c r="D523" s="420"/>
      <c r="E523" s="420"/>
      <c r="F523" s="420"/>
      <c r="G523" s="420"/>
      <c r="H523" s="420"/>
      <c r="I523" s="420"/>
    </row>
    <row r="524" spans="2:9" ht="12.75">
      <c r="B524" s="420"/>
      <c r="C524" s="420"/>
      <c r="D524" s="420"/>
      <c r="E524" s="420"/>
      <c r="F524" s="420"/>
      <c r="G524" s="420"/>
      <c r="H524" s="420"/>
      <c r="I524" s="420"/>
    </row>
    <row r="525" spans="2:9" ht="12.75">
      <c r="B525" s="420"/>
      <c r="C525" s="420"/>
      <c r="D525" s="420"/>
      <c r="E525" s="420"/>
      <c r="F525" s="420"/>
      <c r="G525" s="420"/>
      <c r="H525" s="420"/>
      <c r="I525" s="420"/>
    </row>
    <row r="526" spans="2:9" ht="12.75">
      <c r="B526" s="420"/>
      <c r="C526" s="420"/>
      <c r="D526" s="420"/>
      <c r="E526" s="420"/>
      <c r="F526" s="420"/>
      <c r="G526" s="420"/>
      <c r="H526" s="420"/>
      <c r="I526" s="420"/>
    </row>
    <row r="527" spans="2:9" ht="12.75">
      <c r="B527" s="420"/>
      <c r="C527" s="420"/>
      <c r="D527" s="420"/>
      <c r="E527" s="420"/>
      <c r="F527" s="420"/>
      <c r="G527" s="420"/>
      <c r="H527" s="420"/>
      <c r="I527" s="420"/>
    </row>
    <row r="528" spans="2:9" ht="12.75">
      <c r="B528" s="420"/>
      <c r="C528" s="420"/>
      <c r="D528" s="420"/>
      <c r="E528" s="420"/>
      <c r="F528" s="420"/>
      <c r="G528" s="420"/>
      <c r="H528" s="420"/>
      <c r="I528" s="420"/>
    </row>
    <row r="529" spans="2:9" ht="12.75">
      <c r="B529" s="420"/>
      <c r="C529" s="420"/>
      <c r="D529" s="420"/>
      <c r="E529" s="420"/>
      <c r="F529" s="420"/>
      <c r="G529" s="420"/>
      <c r="H529" s="420"/>
      <c r="I529" s="420"/>
    </row>
    <row r="530" spans="2:9" ht="12.75">
      <c r="B530" s="420"/>
      <c r="C530" s="420"/>
      <c r="D530" s="420"/>
      <c r="E530" s="420"/>
      <c r="F530" s="420"/>
      <c r="G530" s="420"/>
      <c r="H530" s="420"/>
      <c r="I530" s="420"/>
    </row>
    <row r="531" spans="2:9" ht="12.75">
      <c r="B531" s="420"/>
      <c r="C531" s="420"/>
      <c r="D531" s="420"/>
      <c r="E531" s="420"/>
      <c r="F531" s="420"/>
      <c r="G531" s="420"/>
      <c r="H531" s="420"/>
      <c r="I531" s="420"/>
    </row>
    <row r="532" spans="2:9" ht="12.75">
      <c r="B532" s="420"/>
      <c r="C532" s="420"/>
      <c r="D532" s="420"/>
      <c r="E532" s="420"/>
      <c r="F532" s="420"/>
      <c r="G532" s="420"/>
      <c r="H532" s="420"/>
      <c r="I532" s="420"/>
    </row>
    <row r="533" spans="2:9" ht="12.75">
      <c r="B533" s="420"/>
      <c r="C533" s="420"/>
      <c r="D533" s="420"/>
      <c r="E533" s="420"/>
      <c r="F533" s="420"/>
      <c r="G533" s="420"/>
      <c r="H533" s="420"/>
      <c r="I533" s="420"/>
    </row>
    <row r="534" spans="2:9" ht="12.75">
      <c r="B534" s="420"/>
      <c r="C534" s="420"/>
      <c r="D534" s="420"/>
      <c r="E534" s="420"/>
      <c r="F534" s="420"/>
      <c r="G534" s="420"/>
      <c r="H534" s="420"/>
      <c r="I534" s="420"/>
    </row>
    <row r="535" spans="2:9" ht="12.75">
      <c r="B535" s="420"/>
      <c r="C535" s="420"/>
      <c r="D535" s="420"/>
      <c r="E535" s="420"/>
      <c r="F535" s="420"/>
      <c r="G535" s="420"/>
      <c r="H535" s="420"/>
      <c r="I535" s="420"/>
    </row>
    <row r="536" spans="2:9" ht="12.75">
      <c r="B536" s="420"/>
      <c r="C536" s="420"/>
      <c r="D536" s="420"/>
      <c r="E536" s="420"/>
      <c r="F536" s="420"/>
      <c r="G536" s="420"/>
      <c r="H536" s="420"/>
      <c r="I536" s="420"/>
    </row>
    <row r="537" spans="2:9" ht="12.75">
      <c r="B537" s="420"/>
      <c r="C537" s="420"/>
      <c r="D537" s="420"/>
      <c r="E537" s="420"/>
      <c r="F537" s="420"/>
      <c r="G537" s="420"/>
      <c r="H537" s="420"/>
      <c r="I537" s="420"/>
    </row>
    <row r="538" spans="2:9" ht="12.75">
      <c r="B538" s="420"/>
      <c r="C538" s="420"/>
      <c r="D538" s="420"/>
      <c r="E538" s="420"/>
      <c r="F538" s="420"/>
      <c r="G538" s="420"/>
      <c r="H538" s="420"/>
      <c r="I538" s="420"/>
    </row>
    <row r="539" spans="2:9" ht="12.75">
      <c r="B539" s="420"/>
      <c r="C539" s="420"/>
      <c r="D539" s="420"/>
      <c r="E539" s="420"/>
      <c r="F539" s="420"/>
      <c r="G539" s="420"/>
      <c r="H539" s="420"/>
      <c r="I539" s="420"/>
    </row>
    <row r="540" spans="2:9" ht="12.75">
      <c r="B540" s="420"/>
      <c r="C540" s="420"/>
      <c r="D540" s="420"/>
      <c r="E540" s="420"/>
      <c r="F540" s="420"/>
      <c r="G540" s="420"/>
      <c r="H540" s="420"/>
      <c r="I540" s="420"/>
    </row>
    <row r="541" spans="2:9" ht="12.75">
      <c r="B541" s="420"/>
      <c r="C541" s="420"/>
      <c r="D541" s="420"/>
      <c r="E541" s="420"/>
      <c r="F541" s="420"/>
      <c r="G541" s="420"/>
      <c r="H541" s="420"/>
      <c r="I541" s="420"/>
    </row>
    <row r="542" spans="2:9" ht="12.75">
      <c r="B542" s="420"/>
      <c r="C542" s="420"/>
      <c r="D542" s="420"/>
      <c r="E542" s="420"/>
      <c r="F542" s="420"/>
      <c r="G542" s="420"/>
      <c r="H542" s="420"/>
      <c r="I542" s="420"/>
    </row>
    <row r="543" spans="2:9" ht="12.75">
      <c r="B543" s="420"/>
      <c r="C543" s="420"/>
      <c r="D543" s="420"/>
      <c r="E543" s="420"/>
      <c r="F543" s="420"/>
      <c r="G543" s="420"/>
      <c r="H543" s="420"/>
      <c r="I543" s="420"/>
    </row>
    <row r="544" spans="2:9" ht="12.75">
      <c r="B544" s="420"/>
      <c r="C544" s="420"/>
      <c r="D544" s="420"/>
      <c r="E544" s="420"/>
      <c r="F544" s="420"/>
      <c r="G544" s="420"/>
      <c r="H544" s="420"/>
      <c r="I544" s="420"/>
    </row>
    <row r="545" spans="2:9" ht="12.75">
      <c r="B545" s="420"/>
      <c r="C545" s="420"/>
      <c r="D545" s="420"/>
      <c r="E545" s="420"/>
      <c r="F545" s="420"/>
      <c r="G545" s="420"/>
      <c r="H545" s="420"/>
      <c r="I545" s="420"/>
    </row>
    <row r="546" spans="2:9" ht="12.75">
      <c r="B546" s="420"/>
      <c r="C546" s="420"/>
      <c r="D546" s="420"/>
      <c r="E546" s="420"/>
      <c r="F546" s="420"/>
      <c r="G546" s="420"/>
      <c r="H546" s="420"/>
      <c r="I546" s="420"/>
    </row>
    <row r="547" spans="2:9" ht="12.75">
      <c r="B547" s="420"/>
      <c r="C547" s="420"/>
      <c r="D547" s="420"/>
      <c r="E547" s="420"/>
      <c r="F547" s="420"/>
      <c r="G547" s="420"/>
      <c r="H547" s="420"/>
      <c r="I547" s="420"/>
    </row>
    <row r="548" spans="2:9" ht="12.75">
      <c r="B548" s="420"/>
      <c r="C548" s="420"/>
      <c r="D548" s="420"/>
      <c r="E548" s="420"/>
      <c r="F548" s="420"/>
      <c r="G548" s="420"/>
      <c r="H548" s="420"/>
      <c r="I548" s="420"/>
    </row>
    <row r="549" spans="2:9" ht="12.75">
      <c r="B549" s="420"/>
      <c r="C549" s="420"/>
      <c r="D549" s="420"/>
      <c r="E549" s="420"/>
      <c r="F549" s="420"/>
      <c r="G549" s="420"/>
      <c r="H549" s="420"/>
      <c r="I549" s="420"/>
    </row>
    <row r="550" spans="2:9" ht="12.75">
      <c r="B550" s="420"/>
      <c r="C550" s="420"/>
      <c r="D550" s="420"/>
      <c r="E550" s="420"/>
      <c r="F550" s="420"/>
      <c r="G550" s="420"/>
      <c r="H550" s="420"/>
      <c r="I550" s="420"/>
    </row>
    <row r="551" spans="2:9" ht="12.75">
      <c r="B551" s="420"/>
      <c r="C551" s="420"/>
      <c r="D551" s="420"/>
      <c r="E551" s="420"/>
      <c r="F551" s="420"/>
      <c r="G551" s="420"/>
      <c r="H551" s="420"/>
      <c r="I551" s="420"/>
    </row>
    <row r="552" spans="2:9" ht="12.75">
      <c r="B552" s="420"/>
      <c r="C552" s="420"/>
      <c r="D552" s="420"/>
      <c r="E552" s="420"/>
      <c r="F552" s="420"/>
      <c r="G552" s="420"/>
      <c r="H552" s="420"/>
      <c r="I552" s="420"/>
    </row>
    <row r="553" spans="2:9" ht="12.75">
      <c r="B553" s="420"/>
      <c r="C553" s="420"/>
      <c r="D553" s="420"/>
      <c r="E553" s="420"/>
      <c r="F553" s="420"/>
      <c r="G553" s="420"/>
      <c r="H553" s="420"/>
      <c r="I553" s="420"/>
    </row>
    <row r="554" spans="2:9" ht="12.75">
      <c r="B554" s="420"/>
      <c r="C554" s="420"/>
      <c r="D554" s="420"/>
      <c r="E554" s="420"/>
      <c r="F554" s="420"/>
      <c r="G554" s="420"/>
      <c r="H554" s="420"/>
      <c r="I554" s="420"/>
    </row>
    <row r="555" spans="2:9" ht="12.75">
      <c r="B555" s="420"/>
      <c r="C555" s="420"/>
      <c r="D555" s="420"/>
      <c r="E555" s="420"/>
      <c r="F555" s="420"/>
      <c r="G555" s="420"/>
      <c r="H555" s="420"/>
      <c r="I555" s="420"/>
    </row>
    <row r="556" spans="2:9" ht="12.75">
      <c r="B556" s="420"/>
      <c r="C556" s="420"/>
      <c r="D556" s="420"/>
      <c r="E556" s="420"/>
      <c r="F556" s="420"/>
      <c r="G556" s="420"/>
      <c r="H556" s="420"/>
      <c r="I556" s="420"/>
    </row>
    <row r="557" spans="2:9" ht="12.75">
      <c r="B557" s="420"/>
      <c r="C557" s="420"/>
      <c r="D557" s="420"/>
      <c r="E557" s="420"/>
      <c r="F557" s="420"/>
      <c r="G557" s="420"/>
      <c r="H557" s="420"/>
      <c r="I557" s="420"/>
    </row>
    <row r="558" spans="2:9" ht="12.75">
      <c r="B558" s="420"/>
      <c r="C558" s="420"/>
      <c r="D558" s="420"/>
      <c r="E558" s="420"/>
      <c r="F558" s="420"/>
      <c r="G558" s="420"/>
      <c r="H558" s="420"/>
      <c r="I558" s="420"/>
    </row>
    <row r="559" spans="2:9" ht="12.75">
      <c r="B559" s="420"/>
      <c r="C559" s="420"/>
      <c r="D559" s="420"/>
      <c r="E559" s="420"/>
      <c r="F559" s="420"/>
      <c r="G559" s="420"/>
      <c r="H559" s="420"/>
      <c r="I559" s="420"/>
    </row>
    <row r="560" spans="2:9" ht="12.75">
      <c r="B560" s="420"/>
      <c r="C560" s="420"/>
      <c r="D560" s="420"/>
      <c r="E560" s="420"/>
      <c r="F560" s="420"/>
      <c r="G560" s="420"/>
      <c r="H560" s="420"/>
      <c r="I560" s="420"/>
    </row>
    <row r="561" spans="2:9" ht="12.75">
      <c r="B561" s="420"/>
      <c r="C561" s="420"/>
      <c r="D561" s="420"/>
      <c r="E561" s="420"/>
      <c r="F561" s="420"/>
      <c r="G561" s="420"/>
      <c r="H561" s="420"/>
      <c r="I561" s="420"/>
    </row>
    <row r="562" spans="2:9" ht="12.75">
      <c r="B562" s="420"/>
      <c r="C562" s="420"/>
      <c r="D562" s="420"/>
      <c r="E562" s="420"/>
      <c r="F562" s="420"/>
      <c r="G562" s="420"/>
      <c r="H562" s="420"/>
      <c r="I562" s="420"/>
    </row>
    <row r="563" spans="2:9" ht="12.75">
      <c r="B563" s="420"/>
      <c r="C563" s="420"/>
      <c r="D563" s="420"/>
      <c r="E563" s="420"/>
      <c r="F563" s="420"/>
      <c r="G563" s="420"/>
      <c r="H563" s="420"/>
      <c r="I563" s="420"/>
    </row>
    <row r="564" spans="2:9" ht="12.75">
      <c r="B564" s="420"/>
      <c r="C564" s="420"/>
      <c r="D564" s="420"/>
      <c r="E564" s="420"/>
      <c r="F564" s="420"/>
      <c r="G564" s="420"/>
      <c r="H564" s="420"/>
      <c r="I564" s="420"/>
    </row>
    <row r="565" spans="2:9" ht="12.75">
      <c r="B565" s="420"/>
      <c r="C565" s="420"/>
      <c r="D565" s="420"/>
      <c r="E565" s="420"/>
      <c r="F565" s="420"/>
      <c r="G565" s="420"/>
      <c r="H565" s="420"/>
      <c r="I565" s="420"/>
    </row>
    <row r="566" spans="2:9" ht="12.75">
      <c r="B566" s="420"/>
      <c r="C566" s="420"/>
      <c r="D566" s="420"/>
      <c r="E566" s="420"/>
      <c r="F566" s="420"/>
      <c r="G566" s="420"/>
      <c r="H566" s="420"/>
      <c r="I566" s="420"/>
    </row>
    <row r="567" spans="2:9" ht="12.75">
      <c r="B567" s="420"/>
      <c r="C567" s="420"/>
      <c r="D567" s="420"/>
      <c r="E567" s="420"/>
      <c r="F567" s="420"/>
      <c r="G567" s="420"/>
      <c r="H567" s="420"/>
      <c r="I567" s="420"/>
    </row>
    <row r="568" spans="2:9" ht="12.75">
      <c r="B568" s="420"/>
      <c r="C568" s="420"/>
      <c r="D568" s="420"/>
      <c r="E568" s="420"/>
      <c r="F568" s="420"/>
      <c r="G568" s="420"/>
      <c r="H568" s="420"/>
      <c r="I568" s="420"/>
    </row>
    <row r="569" spans="2:9" ht="12.75">
      <c r="B569" s="420"/>
      <c r="C569" s="420"/>
      <c r="D569" s="420"/>
      <c r="E569" s="420"/>
      <c r="F569" s="420"/>
      <c r="G569" s="420"/>
      <c r="H569" s="420"/>
      <c r="I569" s="420"/>
    </row>
    <row r="570" spans="2:9" ht="12.75">
      <c r="B570" s="420"/>
      <c r="C570" s="420"/>
      <c r="D570" s="420"/>
      <c r="E570" s="420"/>
      <c r="F570" s="420"/>
      <c r="G570" s="420"/>
      <c r="H570" s="420"/>
      <c r="I570" s="420"/>
    </row>
    <row r="571" spans="2:9" ht="12.75">
      <c r="B571" s="420"/>
      <c r="C571" s="420"/>
      <c r="D571" s="420"/>
      <c r="E571" s="420"/>
      <c r="F571" s="420"/>
      <c r="G571" s="420"/>
      <c r="H571" s="420"/>
      <c r="I571" s="420"/>
    </row>
    <row r="572" spans="2:9" ht="12.75">
      <c r="B572" s="420"/>
      <c r="C572" s="420"/>
      <c r="D572" s="420"/>
      <c r="E572" s="420"/>
      <c r="F572" s="420"/>
      <c r="G572" s="420"/>
      <c r="H572" s="420"/>
      <c r="I572" s="420"/>
    </row>
    <row r="573" spans="2:9" ht="12.75">
      <c r="B573" s="420"/>
      <c r="C573" s="420"/>
      <c r="D573" s="420"/>
      <c r="E573" s="420"/>
      <c r="F573" s="420"/>
      <c r="G573" s="420"/>
      <c r="H573" s="420"/>
      <c r="I573" s="420"/>
    </row>
    <row r="574" spans="2:9" ht="12.75">
      <c r="B574" s="420"/>
      <c r="C574" s="420"/>
      <c r="D574" s="420"/>
      <c r="E574" s="420"/>
      <c r="F574" s="420"/>
      <c r="G574" s="420"/>
      <c r="H574" s="420"/>
      <c r="I574" s="420"/>
    </row>
    <row r="575" spans="2:9" ht="12.75">
      <c r="B575" s="420"/>
      <c r="C575" s="420"/>
      <c r="D575" s="420"/>
      <c r="E575" s="420"/>
      <c r="F575" s="420"/>
      <c r="G575" s="420"/>
      <c r="H575" s="420"/>
      <c r="I575" s="420"/>
    </row>
    <row r="576" spans="2:9" ht="12.75">
      <c r="B576" s="420"/>
      <c r="C576" s="420"/>
      <c r="D576" s="420"/>
      <c r="E576" s="420"/>
      <c r="F576" s="420"/>
      <c r="G576" s="420"/>
      <c r="H576" s="420"/>
      <c r="I576" s="420"/>
    </row>
    <row r="577" spans="2:9" ht="12.75">
      <c r="B577" s="420"/>
      <c r="C577" s="420"/>
      <c r="D577" s="420"/>
      <c r="E577" s="420"/>
      <c r="F577" s="420"/>
      <c r="G577" s="420"/>
      <c r="H577" s="420"/>
      <c r="I577" s="420"/>
    </row>
    <row r="578" spans="2:9" ht="12.75">
      <c r="B578" s="420"/>
      <c r="C578" s="420"/>
      <c r="D578" s="420"/>
      <c r="E578" s="420"/>
      <c r="F578" s="420"/>
      <c r="G578" s="420"/>
      <c r="H578" s="420"/>
      <c r="I578" s="420"/>
    </row>
    <row r="579" spans="2:9" ht="12.75">
      <c r="B579" s="420"/>
      <c r="C579" s="420"/>
      <c r="D579" s="420"/>
      <c r="E579" s="420"/>
      <c r="F579" s="420"/>
      <c r="G579" s="420"/>
      <c r="H579" s="420"/>
      <c r="I579" s="420"/>
    </row>
    <row r="580" spans="2:9" ht="12.75">
      <c r="B580" s="420"/>
      <c r="C580" s="420"/>
      <c r="D580" s="420"/>
      <c r="E580" s="420"/>
      <c r="F580" s="420"/>
      <c r="G580" s="420"/>
      <c r="H580" s="420"/>
      <c r="I580" s="420"/>
    </row>
    <row r="581" spans="2:9" ht="12.75">
      <c r="B581" s="420"/>
      <c r="C581" s="420"/>
      <c r="D581" s="420"/>
      <c r="E581" s="420"/>
      <c r="F581" s="420"/>
      <c r="G581" s="420"/>
      <c r="H581" s="420"/>
      <c r="I581" s="420"/>
    </row>
    <row r="582" spans="2:9" ht="12.75">
      <c r="B582" s="420"/>
      <c r="C582" s="420"/>
      <c r="D582" s="420"/>
      <c r="E582" s="420"/>
      <c r="F582" s="420"/>
      <c r="G582" s="420"/>
      <c r="H582" s="420"/>
      <c r="I582" s="420"/>
    </row>
    <row r="583" spans="2:9" ht="12.75">
      <c r="B583" s="420"/>
      <c r="C583" s="420"/>
      <c r="D583" s="420"/>
      <c r="E583" s="420"/>
      <c r="F583" s="420"/>
      <c r="G583" s="420"/>
      <c r="H583" s="420"/>
      <c r="I583" s="420"/>
    </row>
    <row r="584" spans="2:9" ht="12.75">
      <c r="B584" s="420"/>
      <c r="C584" s="420"/>
      <c r="D584" s="420"/>
      <c r="E584" s="420"/>
      <c r="F584" s="420"/>
      <c r="G584" s="420"/>
      <c r="H584" s="420"/>
      <c r="I584" s="420"/>
    </row>
    <row r="585" spans="2:9" ht="12.75">
      <c r="B585" s="420"/>
      <c r="C585" s="420"/>
      <c r="D585" s="420"/>
      <c r="E585" s="420"/>
      <c r="F585" s="420"/>
      <c r="G585" s="420"/>
      <c r="H585" s="420"/>
      <c r="I585" s="420"/>
    </row>
    <row r="586" spans="2:9" ht="12.75">
      <c r="B586" s="420"/>
      <c r="C586" s="420"/>
      <c r="D586" s="420"/>
      <c r="E586" s="420"/>
      <c r="F586" s="420"/>
      <c r="G586" s="420"/>
      <c r="H586" s="420"/>
      <c r="I586" s="420"/>
    </row>
    <row r="587" spans="2:9" ht="12.75">
      <c r="B587" s="420"/>
      <c r="C587" s="420"/>
      <c r="D587" s="420"/>
      <c r="E587" s="420"/>
      <c r="F587" s="420"/>
      <c r="G587" s="420"/>
      <c r="H587" s="420"/>
      <c r="I587" s="420"/>
    </row>
    <row r="588" spans="2:9" ht="12.75">
      <c r="B588" s="420"/>
      <c r="C588" s="420"/>
      <c r="D588" s="420"/>
      <c r="E588" s="420"/>
      <c r="F588" s="420"/>
      <c r="G588" s="420"/>
      <c r="H588" s="420"/>
      <c r="I588" s="420"/>
    </row>
    <row r="589" spans="2:9" ht="12.75">
      <c r="B589" s="420"/>
      <c r="C589" s="420"/>
      <c r="D589" s="420"/>
      <c r="E589" s="420"/>
      <c r="F589" s="420"/>
      <c r="G589" s="420"/>
      <c r="H589" s="420"/>
      <c r="I589" s="420"/>
    </row>
    <row r="590" spans="2:9" ht="12.75">
      <c r="B590" s="420"/>
      <c r="C590" s="420"/>
      <c r="D590" s="420"/>
      <c r="E590" s="420"/>
      <c r="F590" s="420"/>
      <c r="G590" s="420"/>
      <c r="H590" s="420"/>
      <c r="I590" s="420"/>
    </row>
    <row r="591" spans="2:9" ht="12.75">
      <c r="B591" s="420"/>
      <c r="C591" s="420"/>
      <c r="D591" s="420"/>
      <c r="E591" s="420"/>
      <c r="F591" s="420"/>
      <c r="G591" s="420"/>
      <c r="H591" s="420"/>
      <c r="I591" s="420"/>
    </row>
    <row r="592" spans="2:9" ht="12.75">
      <c r="B592" s="420"/>
      <c r="C592" s="420"/>
      <c r="D592" s="420"/>
      <c r="E592" s="420"/>
      <c r="F592" s="420"/>
      <c r="G592" s="420"/>
      <c r="H592" s="420"/>
      <c r="I592" s="420"/>
    </row>
    <row r="593" spans="2:9" ht="12.75">
      <c r="B593" s="420"/>
      <c r="C593" s="420"/>
      <c r="D593" s="420"/>
      <c r="E593" s="420"/>
      <c r="F593" s="420"/>
      <c r="G593" s="420"/>
      <c r="H593" s="420"/>
      <c r="I593" s="420"/>
    </row>
    <row r="594" spans="2:9" ht="12.75">
      <c r="B594" s="420"/>
      <c r="C594" s="420"/>
      <c r="D594" s="420"/>
      <c r="E594" s="420"/>
      <c r="F594" s="420"/>
      <c r="G594" s="420"/>
      <c r="H594" s="420"/>
      <c r="I594" s="420"/>
    </row>
    <row r="595" spans="2:9" ht="12.75">
      <c r="B595" s="420"/>
      <c r="C595" s="420"/>
      <c r="D595" s="420"/>
      <c r="E595" s="420"/>
      <c r="F595" s="420"/>
      <c r="G595" s="420"/>
      <c r="H595" s="420"/>
      <c r="I595" s="420"/>
    </row>
    <row r="596" spans="2:9" ht="12.75">
      <c r="B596" s="420"/>
      <c r="C596" s="420"/>
      <c r="D596" s="420"/>
      <c r="E596" s="420"/>
      <c r="F596" s="420"/>
      <c r="G596" s="420"/>
      <c r="H596" s="420"/>
      <c r="I596" s="420"/>
    </row>
    <row r="597" spans="2:9" ht="12.75">
      <c r="B597" s="420"/>
      <c r="C597" s="420"/>
      <c r="D597" s="420"/>
      <c r="E597" s="420"/>
      <c r="F597" s="420"/>
      <c r="G597" s="420"/>
      <c r="H597" s="420"/>
      <c r="I597" s="420"/>
    </row>
    <row r="598" spans="2:9" ht="12.75">
      <c r="B598" s="420"/>
      <c r="C598" s="420"/>
      <c r="D598" s="420"/>
      <c r="E598" s="420"/>
      <c r="F598" s="420"/>
      <c r="G598" s="420"/>
      <c r="H598" s="420"/>
      <c r="I598" s="420"/>
    </row>
    <row r="599" spans="2:9" ht="12.75">
      <c r="B599" s="420"/>
      <c r="C599" s="420"/>
      <c r="D599" s="420"/>
      <c r="E599" s="420"/>
      <c r="F599" s="420"/>
      <c r="G599" s="420"/>
      <c r="H599" s="420"/>
      <c r="I599" s="420"/>
    </row>
    <row r="600" spans="2:9" ht="12.75">
      <c r="B600" s="420"/>
      <c r="C600" s="420"/>
      <c r="D600" s="420"/>
      <c r="E600" s="420"/>
      <c r="F600" s="420"/>
      <c r="G600" s="420"/>
      <c r="H600" s="420"/>
      <c r="I600" s="420"/>
    </row>
    <row r="601" spans="2:9" ht="12.75">
      <c r="B601" s="420"/>
      <c r="C601" s="420"/>
      <c r="D601" s="420"/>
      <c r="E601" s="420"/>
      <c r="F601" s="420"/>
      <c r="G601" s="420"/>
      <c r="H601" s="420"/>
      <c r="I601" s="420"/>
    </row>
    <row r="602" spans="2:9" ht="12.75">
      <c r="B602" s="420"/>
      <c r="C602" s="420"/>
      <c r="D602" s="420"/>
      <c r="E602" s="420"/>
      <c r="F602" s="420"/>
      <c r="G602" s="420"/>
      <c r="H602" s="420"/>
      <c r="I602" s="420"/>
    </row>
    <row r="603" spans="2:9" ht="12.75">
      <c r="B603" s="420"/>
      <c r="C603" s="420"/>
      <c r="D603" s="420"/>
      <c r="E603" s="420"/>
      <c r="F603" s="420"/>
      <c r="G603" s="420"/>
      <c r="H603" s="420"/>
      <c r="I603" s="420"/>
    </row>
    <row r="604" spans="2:9" ht="12.75">
      <c r="B604" s="420"/>
      <c r="C604" s="420"/>
      <c r="D604" s="420"/>
      <c r="E604" s="420"/>
      <c r="F604" s="420"/>
      <c r="G604" s="420"/>
      <c r="H604" s="420"/>
      <c r="I604" s="420"/>
    </row>
    <row r="605" spans="2:9" ht="12.75">
      <c r="B605" s="420"/>
      <c r="C605" s="420"/>
      <c r="D605" s="420"/>
      <c r="E605" s="420"/>
      <c r="F605" s="420"/>
      <c r="G605" s="420"/>
      <c r="H605" s="420"/>
      <c r="I605" s="420"/>
    </row>
    <row r="606" spans="2:9" ht="12.75">
      <c r="B606" s="420"/>
      <c r="C606" s="420"/>
      <c r="D606" s="420"/>
      <c r="E606" s="420"/>
      <c r="F606" s="420"/>
      <c r="G606" s="420"/>
      <c r="H606" s="420"/>
      <c r="I606" s="420"/>
    </row>
    <row r="607" spans="2:9" ht="12.75">
      <c r="B607" s="420"/>
      <c r="C607" s="420"/>
      <c r="D607" s="420"/>
      <c r="E607" s="420"/>
      <c r="F607" s="420"/>
      <c r="G607" s="420"/>
      <c r="H607" s="420"/>
      <c r="I607" s="420"/>
    </row>
    <row r="608" spans="2:9" ht="12.75">
      <c r="B608" s="420"/>
      <c r="C608" s="420"/>
      <c r="D608" s="420"/>
      <c r="E608" s="420"/>
      <c r="F608" s="420"/>
      <c r="G608" s="420"/>
      <c r="H608" s="420"/>
      <c r="I608" s="420"/>
    </row>
    <row r="609" spans="2:9" ht="12.75">
      <c r="B609" s="420"/>
      <c r="C609" s="420"/>
      <c r="D609" s="420"/>
      <c r="E609" s="420"/>
      <c r="F609" s="420"/>
      <c r="G609" s="420"/>
      <c r="H609" s="420"/>
      <c r="I609" s="420"/>
    </row>
    <row r="610" spans="2:9" ht="12.75">
      <c r="B610" s="420"/>
      <c r="C610" s="420"/>
      <c r="D610" s="420"/>
      <c r="E610" s="420"/>
      <c r="F610" s="420"/>
      <c r="G610" s="420"/>
      <c r="H610" s="420"/>
      <c r="I610" s="420"/>
    </row>
    <row r="611" spans="2:9" ht="12.75">
      <c r="B611" s="420"/>
      <c r="C611" s="420"/>
      <c r="D611" s="420"/>
      <c r="E611" s="420"/>
      <c r="F611" s="420"/>
      <c r="G611" s="420"/>
      <c r="H611" s="420"/>
      <c r="I611" s="420"/>
    </row>
    <row r="612" spans="2:9" ht="12.75">
      <c r="B612" s="420"/>
      <c r="C612" s="420"/>
      <c r="D612" s="420"/>
      <c r="E612" s="420"/>
      <c r="F612" s="420"/>
      <c r="G612" s="420"/>
      <c r="H612" s="420"/>
      <c r="I612" s="420"/>
    </row>
    <row r="613" spans="2:9" ht="12.75">
      <c r="B613" s="420"/>
      <c r="C613" s="420"/>
      <c r="D613" s="420"/>
      <c r="E613" s="420"/>
      <c r="F613" s="420"/>
      <c r="G613" s="420"/>
      <c r="H613" s="420"/>
      <c r="I613" s="420"/>
    </row>
    <row r="614" spans="2:9" ht="12.75">
      <c r="B614" s="420"/>
      <c r="C614" s="420"/>
      <c r="D614" s="420"/>
      <c r="E614" s="420"/>
      <c r="F614" s="420"/>
      <c r="G614" s="420"/>
      <c r="H614" s="420"/>
      <c r="I614" s="420"/>
    </row>
    <row r="615" spans="2:9" ht="12.75">
      <c r="B615" s="420"/>
      <c r="C615" s="420"/>
      <c r="D615" s="420"/>
      <c r="E615" s="420"/>
      <c r="F615" s="420"/>
      <c r="G615" s="420"/>
      <c r="H615" s="420"/>
      <c r="I615" s="420"/>
    </row>
    <row r="616" spans="2:9" ht="12.75">
      <c r="B616" s="420"/>
      <c r="C616" s="420"/>
      <c r="D616" s="420"/>
      <c r="E616" s="420"/>
      <c r="F616" s="420"/>
      <c r="G616" s="420"/>
      <c r="H616" s="420"/>
      <c r="I616" s="420"/>
    </row>
    <row r="617" spans="2:9" ht="12.75">
      <c r="B617" s="420"/>
      <c r="C617" s="420"/>
      <c r="D617" s="420"/>
      <c r="E617" s="420"/>
      <c r="F617" s="420"/>
      <c r="G617" s="420"/>
      <c r="H617" s="420"/>
      <c r="I617" s="420"/>
    </row>
    <row r="618" spans="2:9" ht="12.75">
      <c r="B618" s="420"/>
      <c r="C618" s="420"/>
      <c r="D618" s="420"/>
      <c r="E618" s="420"/>
      <c r="F618" s="420"/>
      <c r="G618" s="420"/>
      <c r="H618" s="420"/>
      <c r="I618" s="420"/>
    </row>
    <row r="619" spans="2:9" ht="12.75">
      <c r="B619" s="420"/>
      <c r="C619" s="420"/>
      <c r="D619" s="420"/>
      <c r="E619" s="420"/>
      <c r="F619" s="420"/>
      <c r="G619" s="420"/>
      <c r="H619" s="420"/>
      <c r="I619" s="420"/>
    </row>
    <row r="620" spans="2:9" ht="12.75">
      <c r="B620" s="420"/>
      <c r="C620" s="420"/>
      <c r="D620" s="420"/>
      <c r="E620" s="420"/>
      <c r="F620" s="420"/>
      <c r="G620" s="420"/>
      <c r="H620" s="420"/>
      <c r="I620" s="420"/>
    </row>
    <row r="621" spans="2:9" ht="12.75">
      <c r="B621" s="420"/>
      <c r="C621" s="420"/>
      <c r="D621" s="420"/>
      <c r="E621" s="420"/>
      <c r="F621" s="420"/>
      <c r="G621" s="420"/>
      <c r="H621" s="420"/>
      <c r="I621" s="420"/>
    </row>
    <row r="622" spans="2:9" ht="12.75">
      <c r="B622" s="420"/>
      <c r="C622" s="420"/>
      <c r="D622" s="420"/>
      <c r="E622" s="420"/>
      <c r="F622" s="420"/>
      <c r="G622" s="420"/>
      <c r="H622" s="420"/>
      <c r="I622" s="420"/>
    </row>
    <row r="623" spans="2:9" ht="12.75">
      <c r="B623" s="420"/>
      <c r="C623" s="420"/>
      <c r="D623" s="420"/>
      <c r="E623" s="420"/>
      <c r="F623" s="420"/>
      <c r="G623" s="420"/>
      <c r="H623" s="420"/>
      <c r="I623" s="420"/>
    </row>
    <row r="624" spans="2:9" ht="12.75">
      <c r="B624" s="420"/>
      <c r="C624" s="420"/>
      <c r="D624" s="420"/>
      <c r="E624" s="420"/>
      <c r="F624" s="420"/>
      <c r="G624" s="420"/>
      <c r="H624" s="420"/>
      <c r="I624" s="420"/>
    </row>
    <row r="625" spans="2:9" ht="12.75">
      <c r="B625" s="420"/>
      <c r="C625" s="420"/>
      <c r="D625" s="420"/>
      <c r="E625" s="420"/>
      <c r="F625" s="420"/>
      <c r="G625" s="420"/>
      <c r="H625" s="420"/>
      <c r="I625" s="420"/>
    </row>
    <row r="626" spans="2:9" ht="12.75">
      <c r="B626" s="420"/>
      <c r="C626" s="420"/>
      <c r="D626" s="420"/>
      <c r="E626" s="420"/>
      <c r="F626" s="420"/>
      <c r="G626" s="420"/>
      <c r="H626" s="420"/>
      <c r="I626" s="420"/>
    </row>
    <row r="627" spans="2:9" ht="12.75">
      <c r="B627" s="420"/>
      <c r="C627" s="420"/>
      <c r="D627" s="420"/>
      <c r="E627" s="420"/>
      <c r="F627" s="420"/>
      <c r="G627" s="420"/>
      <c r="H627" s="420"/>
      <c r="I627" s="420"/>
    </row>
    <row r="628" spans="2:9" ht="12.75">
      <c r="B628" s="420"/>
      <c r="C628" s="420"/>
      <c r="D628" s="420"/>
      <c r="E628" s="420"/>
      <c r="F628" s="420"/>
      <c r="G628" s="420"/>
      <c r="H628" s="420"/>
      <c r="I628" s="420"/>
    </row>
    <row r="629" spans="2:9" ht="12.75">
      <c r="B629" s="420"/>
      <c r="C629" s="420"/>
      <c r="D629" s="420"/>
      <c r="E629" s="420"/>
      <c r="F629" s="420"/>
      <c r="G629" s="420"/>
      <c r="H629" s="420"/>
      <c r="I629" s="420"/>
    </row>
    <row r="630" spans="2:9" ht="12.75">
      <c r="B630" s="420"/>
      <c r="C630" s="420"/>
      <c r="D630" s="420"/>
      <c r="E630" s="420"/>
      <c r="F630" s="420"/>
      <c r="G630" s="420"/>
      <c r="H630" s="420"/>
      <c r="I630" s="420"/>
    </row>
    <row r="631" spans="2:9" ht="12.75">
      <c r="B631" s="420"/>
      <c r="C631" s="420"/>
      <c r="D631" s="420"/>
      <c r="E631" s="420"/>
      <c r="F631" s="420"/>
      <c r="G631" s="420"/>
      <c r="H631" s="420"/>
      <c r="I631" s="420"/>
    </row>
    <row r="632" spans="2:9" ht="12.75">
      <c r="B632" s="420"/>
      <c r="C632" s="420"/>
      <c r="D632" s="420"/>
      <c r="E632" s="420"/>
      <c r="F632" s="420"/>
      <c r="G632" s="420"/>
      <c r="H632" s="420"/>
      <c r="I632" s="420"/>
    </row>
    <row r="633" spans="2:9" ht="12.75">
      <c r="B633" s="420"/>
      <c r="C633" s="420"/>
      <c r="D633" s="420"/>
      <c r="E633" s="420"/>
      <c r="F633" s="420"/>
      <c r="G633" s="420"/>
      <c r="H633" s="420"/>
      <c r="I633" s="420"/>
    </row>
    <row r="634" spans="2:9" ht="12.75">
      <c r="B634" s="420"/>
      <c r="C634" s="420"/>
      <c r="D634" s="420"/>
      <c r="E634" s="420"/>
      <c r="F634" s="420"/>
      <c r="G634" s="420"/>
      <c r="H634" s="420"/>
      <c r="I634" s="420"/>
    </row>
    <row r="635" spans="2:9" ht="12.75">
      <c r="B635" s="420"/>
      <c r="C635" s="420"/>
      <c r="D635" s="420"/>
      <c r="E635" s="420"/>
      <c r="F635" s="420"/>
      <c r="G635" s="420"/>
      <c r="H635" s="420"/>
      <c r="I635" s="420"/>
    </row>
    <row r="636" spans="2:9" ht="12.75">
      <c r="B636" s="420"/>
      <c r="C636" s="420"/>
      <c r="D636" s="420"/>
      <c r="E636" s="420"/>
      <c r="F636" s="420"/>
      <c r="G636" s="420"/>
      <c r="H636" s="420"/>
      <c r="I636" s="420"/>
    </row>
    <row r="637" spans="2:9" ht="12.75">
      <c r="B637" s="420"/>
      <c r="C637" s="420"/>
      <c r="D637" s="420"/>
      <c r="E637" s="420"/>
      <c r="F637" s="420"/>
      <c r="G637" s="420"/>
      <c r="H637" s="420"/>
      <c r="I637" s="420"/>
    </row>
    <row r="638" spans="2:9" ht="12.75">
      <c r="B638" s="420"/>
      <c r="C638" s="420"/>
      <c r="D638" s="420"/>
      <c r="E638" s="420"/>
      <c r="F638" s="420"/>
      <c r="G638" s="420"/>
      <c r="H638" s="420"/>
      <c r="I638" s="420"/>
    </row>
    <row r="639" spans="2:9" ht="12.75">
      <c r="B639" s="420"/>
      <c r="C639" s="420"/>
      <c r="D639" s="420"/>
      <c r="E639" s="420"/>
      <c r="F639" s="420"/>
      <c r="G639" s="420"/>
      <c r="H639" s="420"/>
      <c r="I639" s="420"/>
    </row>
    <row r="640" spans="2:9" ht="12.75">
      <c r="B640" s="420"/>
      <c r="C640" s="420"/>
      <c r="D640" s="420"/>
      <c r="E640" s="420"/>
      <c r="F640" s="420"/>
      <c r="G640" s="420"/>
      <c r="H640" s="420"/>
      <c r="I640" s="420"/>
    </row>
    <row r="641" spans="2:9" ht="12.75">
      <c r="B641" s="420"/>
      <c r="C641" s="420"/>
      <c r="D641" s="420"/>
      <c r="E641" s="420"/>
      <c r="F641" s="420"/>
      <c r="G641" s="420"/>
      <c r="H641" s="420"/>
      <c r="I641" s="420"/>
    </row>
    <row r="642" spans="2:9" ht="12.75">
      <c r="B642" s="420"/>
      <c r="C642" s="420"/>
      <c r="D642" s="420"/>
      <c r="E642" s="420"/>
      <c r="F642" s="420"/>
      <c r="G642" s="420"/>
      <c r="H642" s="420"/>
      <c r="I642" s="420"/>
    </row>
    <row r="643" spans="2:9" ht="12.75">
      <c r="B643" s="420"/>
      <c r="C643" s="420"/>
      <c r="D643" s="420"/>
      <c r="E643" s="420"/>
      <c r="F643" s="420"/>
      <c r="G643" s="420"/>
      <c r="H643" s="420"/>
      <c r="I643" s="420"/>
    </row>
    <row r="644" spans="2:9" ht="12.75">
      <c r="B644" s="420"/>
      <c r="C644" s="420"/>
      <c r="D644" s="420"/>
      <c r="E644" s="420"/>
      <c r="F644" s="420"/>
      <c r="G644" s="420"/>
      <c r="H644" s="420"/>
      <c r="I644" s="420"/>
    </row>
    <row r="645" spans="2:9" ht="12.75">
      <c r="B645" s="420"/>
      <c r="C645" s="420"/>
      <c r="D645" s="420"/>
      <c r="E645" s="420"/>
      <c r="F645" s="420"/>
      <c r="G645" s="420"/>
      <c r="H645" s="420"/>
      <c r="I645" s="420"/>
    </row>
    <row r="646" spans="2:9" ht="12.75">
      <c r="B646" s="420"/>
      <c r="C646" s="420"/>
      <c r="D646" s="420"/>
      <c r="E646" s="420"/>
      <c r="F646" s="420"/>
      <c r="G646" s="420"/>
      <c r="H646" s="420"/>
      <c r="I646" s="420"/>
    </row>
    <row r="647" spans="2:9" ht="12.75">
      <c r="B647" s="420"/>
      <c r="C647" s="420"/>
      <c r="D647" s="420"/>
      <c r="E647" s="420"/>
      <c r="F647" s="420"/>
      <c r="G647" s="420"/>
      <c r="H647" s="420"/>
      <c r="I647" s="420"/>
    </row>
    <row r="648" spans="2:9" ht="12.75">
      <c r="B648" s="420"/>
      <c r="C648" s="420"/>
      <c r="D648" s="420"/>
      <c r="E648" s="420"/>
      <c r="F648" s="420"/>
      <c r="G648" s="420"/>
      <c r="H648" s="420"/>
      <c r="I648" s="420"/>
    </row>
    <row r="649" spans="2:9" ht="12.75">
      <c r="B649" s="420"/>
      <c r="C649" s="420"/>
      <c r="D649" s="420"/>
      <c r="E649" s="420"/>
      <c r="F649" s="420"/>
      <c r="G649" s="420"/>
      <c r="H649" s="420"/>
      <c r="I649" s="420"/>
    </row>
    <row r="650" spans="2:9" ht="12.75">
      <c r="B650" s="420"/>
      <c r="C650" s="420"/>
      <c r="D650" s="420"/>
      <c r="E650" s="420"/>
      <c r="F650" s="420"/>
      <c r="G650" s="420"/>
      <c r="H650" s="420"/>
      <c r="I650" s="420"/>
    </row>
    <row r="651" spans="2:9" ht="12.75">
      <c r="B651" s="420"/>
      <c r="C651" s="420"/>
      <c r="D651" s="420"/>
      <c r="E651" s="420"/>
      <c r="F651" s="420"/>
      <c r="G651" s="420"/>
      <c r="H651" s="420"/>
      <c r="I651" s="420"/>
    </row>
    <row r="652" spans="2:9" ht="12.75">
      <c r="B652" s="420"/>
      <c r="C652" s="420"/>
      <c r="D652" s="420"/>
      <c r="E652" s="420"/>
      <c r="F652" s="420"/>
      <c r="G652" s="420"/>
      <c r="H652" s="420"/>
      <c r="I652" s="420"/>
    </row>
    <row r="653" spans="2:9" ht="12.75">
      <c r="B653" s="420"/>
      <c r="C653" s="420"/>
      <c r="D653" s="420"/>
      <c r="E653" s="420"/>
      <c r="F653" s="420"/>
      <c r="G653" s="420"/>
      <c r="H653" s="420"/>
      <c r="I653" s="420"/>
    </row>
    <row r="654" spans="2:9" ht="12.75">
      <c r="B654" s="420"/>
      <c r="C654" s="420"/>
      <c r="D654" s="420"/>
      <c r="E654" s="420"/>
      <c r="F654" s="420"/>
      <c r="G654" s="420"/>
      <c r="H654" s="420"/>
      <c r="I654" s="420"/>
    </row>
    <row r="655" spans="2:9" ht="12.75">
      <c r="B655" s="420"/>
      <c r="C655" s="420"/>
      <c r="D655" s="420"/>
      <c r="E655" s="420"/>
      <c r="F655" s="420"/>
      <c r="G655" s="420"/>
      <c r="H655" s="420"/>
      <c r="I655" s="420"/>
    </row>
    <row r="656" spans="2:9" ht="12.75">
      <c r="B656" s="420"/>
      <c r="C656" s="420"/>
      <c r="D656" s="420"/>
      <c r="E656" s="420"/>
      <c r="F656" s="420"/>
      <c r="G656" s="420"/>
      <c r="H656" s="420"/>
      <c r="I656" s="420"/>
    </row>
    <row r="657" spans="2:9" ht="12.75">
      <c r="B657" s="420"/>
      <c r="C657" s="420"/>
      <c r="D657" s="420"/>
      <c r="E657" s="420"/>
      <c r="F657" s="420"/>
      <c r="G657" s="420"/>
      <c r="H657" s="420"/>
      <c r="I657" s="420"/>
    </row>
    <row r="658" spans="2:9" ht="12.75">
      <c r="B658" s="420"/>
      <c r="C658" s="420"/>
      <c r="D658" s="420"/>
      <c r="E658" s="420"/>
      <c r="F658" s="420"/>
      <c r="G658" s="420"/>
      <c r="H658" s="420"/>
      <c r="I658" s="420"/>
    </row>
    <row r="659" spans="2:9" ht="12.75">
      <c r="B659" s="420"/>
      <c r="C659" s="420"/>
      <c r="D659" s="420"/>
      <c r="E659" s="420"/>
      <c r="F659" s="420"/>
      <c r="G659" s="420"/>
      <c r="H659" s="420"/>
      <c r="I659" s="420"/>
    </row>
    <row r="660" spans="2:9" ht="12.75">
      <c r="B660" s="420"/>
      <c r="C660" s="420"/>
      <c r="D660" s="420"/>
      <c r="E660" s="420"/>
      <c r="F660" s="420"/>
      <c r="G660" s="420"/>
      <c r="H660" s="420"/>
      <c r="I660" s="420"/>
    </row>
    <row r="661" spans="2:9" ht="12.75">
      <c r="B661" s="420"/>
      <c r="C661" s="420"/>
      <c r="D661" s="420"/>
      <c r="E661" s="420"/>
      <c r="F661" s="420"/>
      <c r="G661" s="420"/>
      <c r="H661" s="420"/>
      <c r="I661" s="420"/>
    </row>
    <row r="662" spans="2:9" ht="12.75">
      <c r="B662" s="420"/>
      <c r="C662" s="420"/>
      <c r="D662" s="420"/>
      <c r="E662" s="420"/>
      <c r="F662" s="420"/>
      <c r="G662" s="420"/>
      <c r="H662" s="420"/>
      <c r="I662" s="420"/>
    </row>
    <row r="663" spans="2:9" ht="12.75">
      <c r="B663" s="420"/>
      <c r="C663" s="420"/>
      <c r="D663" s="420"/>
      <c r="E663" s="420"/>
      <c r="F663" s="420"/>
      <c r="G663" s="420"/>
      <c r="H663" s="420"/>
      <c r="I663" s="420"/>
    </row>
    <row r="664" spans="2:9" ht="12.75">
      <c r="B664" s="420"/>
      <c r="C664" s="420"/>
      <c r="D664" s="420"/>
      <c r="E664" s="420"/>
      <c r="F664" s="420"/>
      <c r="G664" s="420"/>
      <c r="H664" s="420"/>
      <c r="I664" s="420"/>
    </row>
    <row r="665" spans="2:9" ht="12.75">
      <c r="B665" s="420"/>
      <c r="C665" s="420"/>
      <c r="D665" s="420"/>
      <c r="E665" s="420"/>
      <c r="F665" s="420"/>
      <c r="G665" s="420"/>
      <c r="H665" s="420"/>
      <c r="I665" s="420"/>
    </row>
    <row r="666" spans="2:9" ht="12.75">
      <c r="B666" s="420"/>
      <c r="C666" s="420"/>
      <c r="D666" s="420"/>
      <c r="E666" s="420"/>
      <c r="F666" s="420"/>
      <c r="G666" s="420"/>
      <c r="H666" s="420"/>
      <c r="I666" s="420"/>
    </row>
    <row r="667" spans="2:9" ht="12.75">
      <c r="B667" s="420"/>
      <c r="C667" s="420"/>
      <c r="D667" s="420"/>
      <c r="E667" s="420"/>
      <c r="F667" s="420"/>
      <c r="G667" s="420"/>
      <c r="H667" s="420"/>
      <c r="I667" s="420"/>
    </row>
    <row r="668" spans="2:9" ht="12.75">
      <c r="B668" s="420"/>
      <c r="C668" s="420"/>
      <c r="D668" s="420"/>
      <c r="E668" s="420"/>
      <c r="F668" s="420"/>
      <c r="G668" s="420"/>
      <c r="H668" s="420"/>
      <c r="I668" s="420"/>
    </row>
    <row r="669" spans="2:9" ht="12.75">
      <c r="B669" s="420"/>
      <c r="C669" s="420"/>
      <c r="D669" s="420"/>
      <c r="E669" s="420"/>
      <c r="F669" s="420"/>
      <c r="G669" s="420"/>
      <c r="H669" s="420"/>
      <c r="I669" s="420"/>
    </row>
    <row r="670" spans="2:9" ht="12.75">
      <c r="B670" s="420"/>
      <c r="C670" s="420"/>
      <c r="D670" s="420"/>
      <c r="E670" s="420"/>
      <c r="F670" s="420"/>
      <c r="G670" s="420"/>
      <c r="H670" s="420"/>
      <c r="I670" s="420"/>
    </row>
    <row r="671" spans="2:9" ht="12.75">
      <c r="B671" s="420"/>
      <c r="C671" s="420"/>
      <c r="D671" s="420"/>
      <c r="E671" s="420"/>
      <c r="F671" s="420"/>
      <c r="G671" s="420"/>
      <c r="H671" s="420"/>
      <c r="I671" s="420"/>
    </row>
    <row r="672" spans="2:9" ht="12.75">
      <c r="B672" s="420"/>
      <c r="C672" s="420"/>
      <c r="D672" s="420"/>
      <c r="E672" s="420"/>
      <c r="F672" s="420"/>
      <c r="G672" s="420"/>
      <c r="H672" s="420"/>
      <c r="I672" s="420"/>
    </row>
    <row r="673" spans="2:9" ht="12.75">
      <c r="B673" s="420"/>
      <c r="C673" s="420"/>
      <c r="D673" s="420"/>
      <c r="E673" s="420"/>
      <c r="F673" s="420"/>
      <c r="G673" s="420"/>
      <c r="H673" s="420"/>
      <c r="I673" s="420"/>
    </row>
    <row r="674" spans="2:9" ht="12.75">
      <c r="B674" s="420"/>
      <c r="C674" s="420"/>
      <c r="D674" s="420"/>
      <c r="E674" s="420"/>
      <c r="F674" s="420"/>
      <c r="G674" s="420"/>
      <c r="H674" s="420"/>
      <c r="I674" s="420"/>
    </row>
    <row r="675" spans="2:9" ht="12.75">
      <c r="B675" s="420"/>
      <c r="C675" s="420"/>
      <c r="D675" s="420"/>
      <c r="E675" s="420"/>
      <c r="F675" s="420"/>
      <c r="G675" s="420"/>
      <c r="H675" s="420"/>
      <c r="I675" s="420"/>
    </row>
    <row r="676" spans="2:9" ht="12.75">
      <c r="B676" s="420"/>
      <c r="C676" s="420"/>
      <c r="D676" s="420"/>
      <c r="E676" s="420"/>
      <c r="F676" s="420"/>
      <c r="G676" s="420"/>
      <c r="H676" s="420"/>
      <c r="I676" s="420"/>
    </row>
    <row r="677" spans="2:9" ht="12.75">
      <c r="B677" s="420"/>
      <c r="C677" s="420"/>
      <c r="D677" s="420"/>
      <c r="E677" s="420"/>
      <c r="F677" s="420"/>
      <c r="G677" s="420"/>
      <c r="H677" s="420"/>
      <c r="I677" s="420"/>
    </row>
    <row r="678" spans="2:9" ht="12.75">
      <c r="B678" s="420"/>
      <c r="C678" s="420"/>
      <c r="D678" s="420"/>
      <c r="E678" s="420"/>
      <c r="F678" s="420"/>
      <c r="G678" s="420"/>
      <c r="H678" s="420"/>
      <c r="I678" s="420"/>
    </row>
    <row r="679" spans="2:9" ht="12.75">
      <c r="B679" s="420"/>
      <c r="C679" s="420"/>
      <c r="D679" s="420"/>
      <c r="E679" s="420"/>
      <c r="F679" s="420"/>
      <c r="G679" s="420"/>
      <c r="H679" s="420"/>
      <c r="I679" s="420"/>
    </row>
    <row r="680" spans="2:9" ht="12.75">
      <c r="B680" s="420"/>
      <c r="C680" s="420"/>
      <c r="D680" s="420"/>
      <c r="E680" s="420"/>
      <c r="F680" s="420"/>
      <c r="G680" s="420"/>
      <c r="H680" s="420"/>
      <c r="I680" s="420"/>
    </row>
    <row r="681" spans="2:9" ht="12.75">
      <c r="B681" s="420"/>
      <c r="C681" s="420"/>
      <c r="D681" s="420"/>
      <c r="E681" s="420"/>
      <c r="F681" s="420"/>
      <c r="G681" s="420"/>
      <c r="H681" s="420"/>
      <c r="I681" s="420"/>
    </row>
    <row r="682" spans="2:9" ht="12.75">
      <c r="B682" s="420"/>
      <c r="C682" s="420"/>
      <c r="D682" s="420"/>
      <c r="E682" s="420"/>
      <c r="F682" s="420"/>
      <c r="G682" s="420"/>
      <c r="H682" s="420"/>
      <c r="I682" s="420"/>
    </row>
    <row r="683" spans="2:9" ht="12.75">
      <c r="B683" s="420"/>
      <c r="C683" s="420"/>
      <c r="D683" s="420"/>
      <c r="E683" s="420"/>
      <c r="F683" s="420"/>
      <c r="G683" s="420"/>
      <c r="H683" s="420"/>
      <c r="I683" s="420"/>
    </row>
    <row r="684" spans="2:9" ht="12.75">
      <c r="B684" s="420"/>
      <c r="C684" s="420"/>
      <c r="D684" s="420"/>
      <c r="E684" s="420"/>
      <c r="F684" s="420"/>
      <c r="G684" s="420"/>
      <c r="H684" s="420"/>
      <c r="I684" s="420"/>
    </row>
    <row r="685" spans="2:9" ht="12.75">
      <c r="B685" s="420"/>
      <c r="C685" s="420"/>
      <c r="D685" s="420"/>
      <c r="E685" s="420"/>
      <c r="F685" s="420"/>
      <c r="G685" s="420"/>
      <c r="H685" s="420"/>
      <c r="I685" s="420"/>
    </row>
    <row r="686" spans="2:9" ht="12.75">
      <c r="B686" s="420"/>
      <c r="C686" s="420"/>
      <c r="D686" s="420"/>
      <c r="E686" s="420"/>
      <c r="F686" s="420"/>
      <c r="G686" s="420"/>
      <c r="H686" s="420"/>
      <c r="I686" s="420"/>
    </row>
    <row r="687" spans="2:9" ht="12.75">
      <c r="B687" s="420"/>
      <c r="C687" s="420"/>
      <c r="D687" s="420"/>
      <c r="E687" s="420"/>
      <c r="F687" s="420"/>
      <c r="G687" s="420"/>
      <c r="H687" s="420"/>
      <c r="I687" s="420"/>
    </row>
    <row r="688" spans="2:9" ht="12.75">
      <c r="B688" s="420"/>
      <c r="C688" s="420"/>
      <c r="D688" s="420"/>
      <c r="E688" s="420"/>
      <c r="F688" s="420"/>
      <c r="G688" s="420"/>
      <c r="H688" s="420"/>
      <c r="I688" s="420"/>
    </row>
    <row r="689" spans="2:9" ht="12.75">
      <c r="B689" s="420"/>
      <c r="C689" s="420"/>
      <c r="D689" s="420"/>
      <c r="E689" s="420"/>
      <c r="F689" s="420"/>
      <c r="G689" s="420"/>
      <c r="H689" s="420"/>
      <c r="I689" s="420"/>
    </row>
    <row r="690" spans="2:9" ht="12.75">
      <c r="B690" s="420"/>
      <c r="C690" s="420"/>
      <c r="D690" s="420"/>
      <c r="E690" s="420"/>
      <c r="F690" s="420"/>
      <c r="G690" s="420"/>
      <c r="H690" s="420"/>
      <c r="I690" s="420"/>
    </row>
    <row r="691" spans="2:9" ht="12.75">
      <c r="B691" s="420"/>
      <c r="C691" s="420"/>
      <c r="D691" s="420"/>
      <c r="E691" s="420"/>
      <c r="F691" s="420"/>
      <c r="G691" s="420"/>
      <c r="H691" s="420"/>
      <c r="I691" s="420"/>
    </row>
    <row r="692" spans="2:9" ht="12.75">
      <c r="B692" s="420"/>
      <c r="C692" s="420"/>
      <c r="D692" s="420"/>
      <c r="E692" s="420"/>
      <c r="F692" s="420"/>
      <c r="G692" s="420"/>
      <c r="H692" s="420"/>
      <c r="I692" s="420"/>
    </row>
    <row r="693" spans="2:9" ht="12.75">
      <c r="B693" s="420"/>
      <c r="C693" s="420"/>
      <c r="D693" s="420"/>
      <c r="E693" s="420"/>
      <c r="F693" s="420"/>
      <c r="G693" s="420"/>
      <c r="H693" s="420"/>
      <c r="I693" s="420"/>
    </row>
    <row r="694" spans="2:9" ht="12.75">
      <c r="B694" s="420"/>
      <c r="C694" s="420"/>
      <c r="D694" s="420"/>
      <c r="E694" s="420"/>
      <c r="F694" s="420"/>
      <c r="G694" s="420"/>
      <c r="H694" s="420"/>
      <c r="I694" s="420"/>
    </row>
    <row r="695" spans="2:9" ht="12.75">
      <c r="B695" s="420"/>
      <c r="C695" s="420"/>
      <c r="D695" s="420"/>
      <c r="E695" s="420"/>
      <c r="F695" s="420"/>
      <c r="G695" s="420"/>
      <c r="H695" s="420"/>
      <c r="I695" s="420"/>
    </row>
    <row r="696" spans="2:9" ht="12.75">
      <c r="B696" s="420"/>
      <c r="C696" s="420"/>
      <c r="D696" s="420"/>
      <c r="E696" s="420"/>
      <c r="F696" s="420"/>
      <c r="G696" s="420"/>
      <c r="H696" s="420"/>
      <c r="I696" s="420"/>
    </row>
    <row r="697" spans="2:9" ht="12.75">
      <c r="B697" s="420"/>
      <c r="C697" s="420"/>
      <c r="D697" s="420"/>
      <c r="E697" s="420"/>
      <c r="F697" s="420"/>
      <c r="G697" s="420"/>
      <c r="H697" s="420"/>
      <c r="I697" s="420"/>
    </row>
    <row r="698" spans="2:9" ht="12.75">
      <c r="B698" s="420"/>
      <c r="C698" s="420"/>
      <c r="D698" s="420"/>
      <c r="E698" s="420"/>
      <c r="F698" s="420"/>
      <c r="G698" s="420"/>
      <c r="H698" s="420"/>
      <c r="I698" s="420"/>
    </row>
    <row r="699" spans="2:9" ht="12.75">
      <c r="B699" s="420"/>
      <c r="C699" s="420"/>
      <c r="D699" s="420"/>
      <c r="E699" s="420"/>
      <c r="F699" s="420"/>
      <c r="G699" s="420"/>
      <c r="H699" s="420"/>
      <c r="I699" s="420"/>
    </row>
    <row r="700" spans="2:9" ht="12.75">
      <c r="B700" s="420"/>
      <c r="C700" s="420"/>
      <c r="D700" s="420"/>
      <c r="E700" s="420"/>
      <c r="F700" s="420"/>
      <c r="G700" s="420"/>
      <c r="H700" s="420"/>
      <c r="I700" s="420"/>
    </row>
    <row r="701" spans="2:9" ht="12.75">
      <c r="B701" s="420"/>
      <c r="C701" s="420"/>
      <c r="D701" s="420"/>
      <c r="E701" s="420"/>
      <c r="F701" s="420"/>
      <c r="G701" s="420"/>
      <c r="H701" s="420"/>
      <c r="I701" s="420"/>
    </row>
    <row r="702" spans="2:9" ht="12.75">
      <c r="B702" s="420"/>
      <c r="C702" s="420"/>
      <c r="D702" s="420"/>
      <c r="E702" s="420"/>
      <c r="F702" s="420"/>
      <c r="G702" s="420"/>
      <c r="H702" s="420"/>
      <c r="I702" s="420"/>
    </row>
    <row r="703" spans="2:9" ht="12.75">
      <c r="B703" s="420"/>
      <c r="C703" s="420"/>
      <c r="D703" s="420"/>
      <c r="E703" s="420"/>
      <c r="F703" s="420"/>
      <c r="G703" s="420"/>
      <c r="H703" s="420"/>
      <c r="I703" s="420"/>
    </row>
    <row r="704" spans="2:9" ht="12.75">
      <c r="B704" s="420"/>
      <c r="C704" s="420"/>
      <c r="D704" s="420"/>
      <c r="E704" s="420"/>
      <c r="F704" s="420"/>
      <c r="G704" s="420"/>
      <c r="H704" s="420"/>
      <c r="I704" s="420"/>
    </row>
    <row r="705" spans="2:9" ht="12.75">
      <c r="B705" s="420"/>
      <c r="C705" s="420"/>
      <c r="D705" s="420"/>
      <c r="E705" s="420"/>
      <c r="F705" s="420"/>
      <c r="G705" s="420"/>
      <c r="H705" s="420"/>
      <c r="I705" s="420"/>
    </row>
    <row r="706" spans="2:9" ht="12.75">
      <c r="B706" s="420"/>
      <c r="C706" s="420"/>
      <c r="D706" s="420"/>
      <c r="E706" s="420"/>
      <c r="F706" s="420"/>
      <c r="G706" s="420"/>
      <c r="H706" s="420"/>
      <c r="I706" s="420"/>
    </row>
    <row r="707" spans="2:9" ht="12.75">
      <c r="B707" s="420"/>
      <c r="C707" s="420"/>
      <c r="D707" s="420"/>
      <c r="E707" s="420"/>
      <c r="F707" s="420"/>
      <c r="G707" s="420"/>
      <c r="H707" s="420"/>
      <c r="I707" s="420"/>
    </row>
    <row r="708" spans="2:9" ht="12.75">
      <c r="B708" s="420"/>
      <c r="C708" s="420"/>
      <c r="D708" s="420"/>
      <c r="E708" s="420"/>
      <c r="F708" s="420"/>
      <c r="G708" s="420"/>
      <c r="H708" s="420"/>
      <c r="I708" s="420"/>
    </row>
    <row r="709" spans="2:9" ht="12.75">
      <c r="B709" s="420"/>
      <c r="C709" s="420"/>
      <c r="D709" s="420"/>
      <c r="E709" s="420"/>
      <c r="F709" s="420"/>
      <c r="G709" s="420"/>
      <c r="H709" s="420"/>
      <c r="I709" s="420"/>
    </row>
    <row r="710" spans="2:9" ht="12.75">
      <c r="B710" s="420"/>
      <c r="C710" s="420"/>
      <c r="D710" s="420"/>
      <c r="E710" s="420"/>
      <c r="F710" s="420"/>
      <c r="G710" s="420"/>
      <c r="H710" s="420"/>
      <c r="I710" s="420"/>
    </row>
    <row r="711" spans="2:9" ht="12.75">
      <c r="B711" s="420"/>
      <c r="C711" s="420"/>
      <c r="D711" s="420"/>
      <c r="E711" s="420"/>
      <c r="F711" s="420"/>
      <c r="G711" s="420"/>
      <c r="H711" s="420"/>
      <c r="I711" s="420"/>
    </row>
    <row r="712" spans="2:9" ht="12.75">
      <c r="B712" s="420"/>
      <c r="C712" s="420"/>
      <c r="D712" s="420"/>
      <c r="E712" s="420"/>
      <c r="F712" s="420"/>
      <c r="G712" s="420"/>
      <c r="H712" s="420"/>
      <c r="I712" s="420"/>
    </row>
    <row r="713" spans="2:9" ht="12.75">
      <c r="B713" s="420"/>
      <c r="C713" s="420"/>
      <c r="D713" s="420"/>
      <c r="E713" s="420"/>
      <c r="F713" s="420"/>
      <c r="G713" s="420"/>
      <c r="H713" s="420"/>
      <c r="I713" s="420"/>
    </row>
    <row r="714" spans="2:9" ht="12.75">
      <c r="B714" s="420"/>
      <c r="C714" s="420"/>
      <c r="D714" s="420"/>
      <c r="E714" s="420"/>
      <c r="F714" s="420"/>
      <c r="G714" s="420"/>
      <c r="H714" s="420"/>
      <c r="I714" s="420"/>
    </row>
    <row r="715" spans="2:9" ht="12.75">
      <c r="B715" s="420"/>
      <c r="C715" s="420"/>
      <c r="D715" s="420"/>
      <c r="E715" s="420"/>
      <c r="F715" s="420"/>
      <c r="G715" s="420"/>
      <c r="H715" s="420"/>
      <c r="I715" s="420"/>
    </row>
    <row r="716" spans="2:9" ht="12.75">
      <c r="B716" s="420"/>
      <c r="C716" s="420"/>
      <c r="D716" s="420"/>
      <c r="E716" s="420"/>
      <c r="F716" s="420"/>
      <c r="G716" s="420"/>
      <c r="H716" s="420"/>
      <c r="I716" s="420"/>
    </row>
    <row r="717" spans="2:9" ht="12.75">
      <c r="B717" s="420"/>
      <c r="C717" s="420"/>
      <c r="D717" s="420"/>
      <c r="E717" s="420"/>
      <c r="F717" s="420"/>
      <c r="G717" s="420"/>
      <c r="H717" s="420"/>
      <c r="I717" s="420"/>
    </row>
    <row r="718" spans="2:9" ht="12.75">
      <c r="B718" s="420"/>
      <c r="C718" s="420"/>
      <c r="D718" s="420"/>
      <c r="E718" s="420"/>
      <c r="F718" s="420"/>
      <c r="G718" s="420"/>
      <c r="H718" s="420"/>
      <c r="I718" s="420"/>
    </row>
    <row r="719" spans="2:9" ht="12.75">
      <c r="B719" s="420"/>
      <c r="C719" s="420"/>
      <c r="D719" s="420"/>
      <c r="E719" s="420"/>
      <c r="F719" s="420"/>
      <c r="G719" s="420"/>
      <c r="H719" s="420"/>
      <c r="I719" s="420"/>
    </row>
    <row r="720" spans="2:9" ht="12.75">
      <c r="B720" s="420"/>
      <c r="C720" s="420"/>
      <c r="D720" s="420"/>
      <c r="E720" s="420"/>
      <c r="F720" s="420"/>
      <c r="G720" s="420"/>
      <c r="H720" s="420"/>
      <c r="I720" s="420"/>
    </row>
    <row r="721" spans="2:9" ht="12.75">
      <c r="B721" s="420"/>
      <c r="C721" s="420"/>
      <c r="D721" s="420"/>
      <c r="E721" s="420"/>
      <c r="F721" s="420"/>
      <c r="G721" s="420"/>
      <c r="H721" s="420"/>
      <c r="I721" s="420"/>
    </row>
    <row r="722" spans="2:9" ht="12.75">
      <c r="B722" s="420"/>
      <c r="C722" s="420"/>
      <c r="D722" s="420"/>
      <c r="E722" s="420"/>
      <c r="F722" s="420"/>
      <c r="G722" s="420"/>
      <c r="H722" s="420"/>
      <c r="I722" s="420"/>
    </row>
    <row r="723" spans="2:9" ht="12.75">
      <c r="B723" s="420"/>
      <c r="C723" s="420"/>
      <c r="D723" s="420"/>
      <c r="E723" s="420"/>
      <c r="F723" s="420"/>
      <c r="G723" s="420"/>
      <c r="H723" s="420"/>
      <c r="I723" s="420"/>
    </row>
    <row r="724" spans="2:9" ht="12.75">
      <c r="B724" s="420"/>
      <c r="C724" s="420"/>
      <c r="D724" s="420"/>
      <c r="E724" s="420"/>
      <c r="F724" s="420"/>
      <c r="G724" s="420"/>
      <c r="H724" s="420"/>
      <c r="I724" s="420"/>
    </row>
    <row r="725" spans="2:9" ht="12.75">
      <c r="B725" s="420"/>
      <c r="C725" s="420"/>
      <c r="D725" s="420"/>
      <c r="E725" s="420"/>
      <c r="F725" s="420"/>
      <c r="G725" s="420"/>
      <c r="H725" s="420"/>
      <c r="I725" s="420"/>
    </row>
    <row r="726" spans="2:9" ht="12.75">
      <c r="B726" s="420"/>
      <c r="C726" s="420"/>
      <c r="D726" s="420"/>
      <c r="E726" s="420"/>
      <c r="F726" s="420"/>
      <c r="G726" s="420"/>
      <c r="H726" s="420"/>
      <c r="I726" s="420"/>
    </row>
    <row r="727" spans="2:9" ht="12.75">
      <c r="B727" s="420"/>
      <c r="C727" s="420"/>
      <c r="D727" s="420"/>
      <c r="E727" s="420"/>
      <c r="F727" s="420"/>
      <c r="G727" s="420"/>
      <c r="H727" s="420"/>
      <c r="I727" s="420"/>
    </row>
    <row r="728" spans="2:9" ht="12.75">
      <c r="B728" s="420"/>
      <c r="C728" s="420"/>
      <c r="D728" s="420"/>
      <c r="E728" s="420"/>
      <c r="F728" s="420"/>
      <c r="G728" s="420"/>
      <c r="H728" s="420"/>
      <c r="I728" s="420"/>
    </row>
    <row r="729" spans="2:9" ht="12.75">
      <c r="B729" s="420"/>
      <c r="C729" s="420"/>
      <c r="D729" s="420"/>
      <c r="E729" s="420"/>
      <c r="F729" s="420"/>
      <c r="G729" s="420"/>
      <c r="H729" s="420"/>
      <c r="I729" s="420"/>
    </row>
    <row r="730" spans="2:9" ht="12.75">
      <c r="B730" s="420"/>
      <c r="C730" s="420"/>
      <c r="D730" s="420"/>
      <c r="E730" s="420"/>
      <c r="F730" s="420"/>
      <c r="G730" s="420"/>
      <c r="H730" s="420"/>
      <c r="I730" s="420"/>
    </row>
    <row r="731" spans="2:9" ht="12.75">
      <c r="B731" s="420"/>
      <c r="C731" s="420"/>
      <c r="D731" s="420"/>
      <c r="E731" s="420"/>
      <c r="F731" s="420"/>
      <c r="G731" s="420"/>
      <c r="H731" s="420"/>
      <c r="I731" s="420"/>
    </row>
    <row r="732" spans="2:9" ht="12.75">
      <c r="B732" s="420"/>
      <c r="C732" s="420"/>
      <c r="D732" s="420"/>
      <c r="E732" s="420"/>
      <c r="F732" s="420"/>
      <c r="G732" s="420"/>
      <c r="H732" s="420"/>
      <c r="I732" s="420"/>
    </row>
    <row r="733" spans="2:9" ht="12.75">
      <c r="B733" s="420"/>
      <c r="C733" s="420"/>
      <c r="D733" s="420"/>
      <c r="E733" s="420"/>
      <c r="F733" s="420"/>
      <c r="G733" s="420"/>
      <c r="H733" s="420"/>
      <c r="I733" s="420"/>
    </row>
    <row r="734" spans="2:9" ht="12.75">
      <c r="B734" s="420"/>
      <c r="C734" s="420"/>
      <c r="D734" s="420"/>
      <c r="E734" s="420"/>
      <c r="F734" s="420"/>
      <c r="G734" s="420"/>
      <c r="H734" s="420"/>
      <c r="I734" s="420"/>
    </row>
    <row r="735" spans="2:9" ht="12.75">
      <c r="B735" s="420"/>
      <c r="C735" s="420"/>
      <c r="D735" s="420"/>
      <c r="E735" s="420"/>
      <c r="F735" s="420"/>
      <c r="G735" s="420"/>
      <c r="H735" s="420"/>
      <c r="I735" s="420"/>
    </row>
    <row r="736" spans="2:9" ht="12.75">
      <c r="B736" s="420"/>
      <c r="C736" s="420"/>
      <c r="D736" s="420"/>
      <c r="E736" s="420"/>
      <c r="F736" s="420"/>
      <c r="G736" s="420"/>
      <c r="H736" s="420"/>
      <c r="I736" s="420"/>
    </row>
    <row r="737" spans="2:9" ht="12.75">
      <c r="B737" s="420"/>
      <c r="C737" s="420"/>
      <c r="D737" s="420"/>
      <c r="E737" s="420"/>
      <c r="F737" s="420"/>
      <c r="G737" s="420"/>
      <c r="H737" s="420"/>
      <c r="I737" s="420"/>
    </row>
    <row r="738" spans="2:9" ht="12.75">
      <c r="B738" s="420"/>
      <c r="C738" s="420"/>
      <c r="D738" s="420"/>
      <c r="E738" s="420"/>
      <c r="F738" s="420"/>
      <c r="G738" s="420"/>
      <c r="H738" s="420"/>
      <c r="I738" s="420"/>
    </row>
    <row r="739" spans="2:9" ht="12.75">
      <c r="B739" s="420"/>
      <c r="C739" s="420"/>
      <c r="D739" s="420"/>
      <c r="E739" s="420"/>
      <c r="F739" s="420"/>
      <c r="G739" s="420"/>
      <c r="H739" s="420"/>
      <c r="I739" s="420"/>
    </row>
    <row r="740" spans="2:9" ht="12.75">
      <c r="B740" s="420"/>
      <c r="C740" s="420"/>
      <c r="D740" s="420"/>
      <c r="E740" s="420"/>
      <c r="F740" s="420"/>
      <c r="G740" s="420"/>
      <c r="H740" s="420"/>
      <c r="I740" s="420"/>
    </row>
    <row r="741" spans="2:9" ht="12.75">
      <c r="B741" s="420"/>
      <c r="C741" s="420"/>
      <c r="D741" s="420"/>
      <c r="E741" s="420"/>
      <c r="F741" s="420"/>
      <c r="G741" s="420"/>
      <c r="H741" s="420"/>
      <c r="I741" s="420"/>
    </row>
    <row r="742" spans="2:9" ht="12.75">
      <c r="B742" s="420"/>
      <c r="C742" s="420"/>
      <c r="D742" s="420"/>
      <c r="E742" s="420"/>
      <c r="F742" s="420"/>
      <c r="G742" s="420"/>
      <c r="H742" s="420"/>
      <c r="I742" s="420"/>
    </row>
    <row r="743" spans="2:9" ht="12.75">
      <c r="B743" s="420"/>
      <c r="C743" s="420"/>
      <c r="D743" s="420"/>
      <c r="E743" s="420"/>
      <c r="F743" s="420"/>
      <c r="G743" s="420"/>
      <c r="H743" s="420"/>
      <c r="I743" s="420"/>
    </row>
    <row r="744" spans="2:9" ht="12.75">
      <c r="B744" s="420"/>
      <c r="C744" s="420"/>
      <c r="D744" s="420"/>
      <c r="E744" s="420"/>
      <c r="F744" s="420"/>
      <c r="G744" s="420"/>
      <c r="H744" s="420"/>
      <c r="I744" s="420"/>
    </row>
    <row r="745" spans="2:9" ht="12.75">
      <c r="B745" s="420"/>
      <c r="C745" s="420"/>
      <c r="D745" s="420"/>
      <c r="E745" s="420"/>
      <c r="F745" s="420"/>
      <c r="G745" s="420"/>
      <c r="H745" s="420"/>
      <c r="I745" s="420"/>
    </row>
    <row r="746" spans="2:9" ht="12.75">
      <c r="B746" s="420"/>
      <c r="C746" s="420"/>
      <c r="D746" s="420"/>
      <c r="E746" s="420"/>
      <c r="F746" s="420"/>
      <c r="G746" s="420"/>
      <c r="H746" s="420"/>
      <c r="I746" s="420"/>
    </row>
    <row r="747" spans="2:9" ht="12.75">
      <c r="B747" s="420"/>
      <c r="C747" s="420"/>
      <c r="D747" s="420"/>
      <c r="E747" s="420"/>
      <c r="F747" s="420"/>
      <c r="G747" s="420"/>
      <c r="H747" s="420"/>
      <c r="I747" s="420"/>
    </row>
    <row r="748" spans="2:9" ht="12.75">
      <c r="B748" s="420"/>
      <c r="C748" s="420"/>
      <c r="D748" s="420"/>
      <c r="E748" s="420"/>
      <c r="F748" s="420"/>
      <c r="G748" s="420"/>
      <c r="H748" s="420"/>
      <c r="I748" s="420"/>
    </row>
    <row r="749" spans="2:9" ht="12.75">
      <c r="B749" s="420"/>
      <c r="C749" s="420"/>
      <c r="D749" s="420"/>
      <c r="E749" s="420"/>
      <c r="F749" s="420"/>
      <c r="G749" s="420"/>
      <c r="H749" s="420"/>
      <c r="I749" s="420"/>
    </row>
    <row r="750" spans="2:9" ht="12.75">
      <c r="B750" s="420"/>
      <c r="C750" s="420"/>
      <c r="D750" s="420"/>
      <c r="E750" s="420"/>
      <c r="F750" s="420"/>
      <c r="G750" s="420"/>
      <c r="H750" s="420"/>
      <c r="I750" s="420"/>
    </row>
    <row r="751" spans="2:9" ht="12.75">
      <c r="B751" s="420"/>
      <c r="C751" s="420"/>
      <c r="D751" s="420"/>
      <c r="E751" s="420"/>
      <c r="F751" s="420"/>
      <c r="G751" s="420"/>
      <c r="H751" s="420"/>
      <c r="I751" s="420"/>
    </row>
    <row r="752" spans="2:9" ht="12.75">
      <c r="B752" s="420"/>
      <c r="C752" s="420"/>
      <c r="D752" s="420"/>
      <c r="E752" s="420"/>
      <c r="F752" s="420"/>
      <c r="G752" s="420"/>
      <c r="H752" s="420"/>
      <c r="I752" s="420"/>
    </row>
    <row r="753" spans="2:9" ht="12.75">
      <c r="B753" s="420"/>
      <c r="C753" s="420"/>
      <c r="D753" s="420"/>
      <c r="E753" s="420"/>
      <c r="F753" s="420"/>
      <c r="G753" s="420"/>
      <c r="H753" s="420"/>
      <c r="I753" s="420"/>
    </row>
    <row r="754" spans="2:9" ht="12.75">
      <c r="B754" s="420"/>
      <c r="C754" s="420"/>
      <c r="D754" s="420"/>
      <c r="E754" s="420"/>
      <c r="F754" s="420"/>
      <c r="G754" s="420"/>
      <c r="H754" s="420"/>
      <c r="I754" s="420"/>
    </row>
    <row r="755" spans="2:9" ht="12.75">
      <c r="B755" s="420"/>
      <c r="C755" s="420"/>
      <c r="D755" s="420"/>
      <c r="E755" s="420"/>
      <c r="F755" s="420"/>
      <c r="G755" s="420"/>
      <c r="H755" s="420"/>
      <c r="I755" s="420"/>
    </row>
    <row r="756" spans="2:9" ht="12.75">
      <c r="B756" s="420"/>
      <c r="C756" s="420"/>
      <c r="D756" s="420"/>
      <c r="E756" s="420"/>
      <c r="F756" s="420"/>
      <c r="G756" s="420"/>
      <c r="H756" s="420"/>
      <c r="I756" s="420"/>
    </row>
    <row r="757" spans="2:9" ht="12.75">
      <c r="B757" s="420"/>
      <c r="C757" s="420"/>
      <c r="D757" s="420"/>
      <c r="E757" s="420"/>
      <c r="F757" s="420"/>
      <c r="G757" s="420"/>
      <c r="H757" s="420"/>
      <c r="I757" s="420"/>
    </row>
    <row r="758" spans="2:9" ht="12.75">
      <c r="B758" s="420"/>
      <c r="C758" s="420"/>
      <c r="D758" s="420"/>
      <c r="E758" s="420"/>
      <c r="F758" s="420"/>
      <c r="G758" s="420"/>
      <c r="H758" s="420"/>
      <c r="I758" s="420"/>
    </row>
    <row r="759" spans="2:9" ht="12.75">
      <c r="B759" s="420"/>
      <c r="C759" s="420"/>
      <c r="D759" s="420"/>
      <c r="E759" s="420"/>
      <c r="F759" s="420"/>
      <c r="G759" s="420"/>
      <c r="H759" s="420"/>
      <c r="I759" s="420"/>
    </row>
    <row r="760" spans="2:9" ht="12.75">
      <c r="B760" s="420"/>
      <c r="C760" s="420"/>
      <c r="D760" s="420"/>
      <c r="E760" s="420"/>
      <c r="F760" s="420"/>
      <c r="G760" s="420"/>
      <c r="H760" s="420"/>
      <c r="I760" s="420"/>
    </row>
    <row r="761" spans="2:9" ht="12.75">
      <c r="B761" s="420"/>
      <c r="C761" s="420"/>
      <c r="D761" s="420"/>
      <c r="E761" s="420"/>
      <c r="F761" s="420"/>
      <c r="G761" s="420"/>
      <c r="H761" s="420"/>
      <c r="I761" s="420"/>
    </row>
    <row r="762" spans="2:9" ht="12.75">
      <c r="B762" s="420"/>
      <c r="C762" s="420"/>
      <c r="D762" s="420"/>
      <c r="E762" s="420"/>
      <c r="F762" s="420"/>
      <c r="G762" s="420"/>
      <c r="H762" s="420"/>
      <c r="I762" s="420"/>
    </row>
    <row r="763" spans="2:9" ht="12.75">
      <c r="B763" s="420"/>
      <c r="C763" s="420"/>
      <c r="D763" s="420"/>
      <c r="E763" s="420"/>
      <c r="F763" s="420"/>
      <c r="G763" s="420"/>
      <c r="H763" s="420"/>
      <c r="I763" s="420"/>
    </row>
    <row r="764" spans="2:9" ht="12.75">
      <c r="B764" s="420"/>
      <c r="C764" s="420"/>
      <c r="D764" s="420"/>
      <c r="E764" s="420"/>
      <c r="F764" s="420"/>
      <c r="G764" s="420"/>
      <c r="H764" s="420"/>
      <c r="I764" s="420"/>
    </row>
    <row r="765" spans="2:9" ht="12.75">
      <c r="B765" s="420"/>
      <c r="C765" s="420"/>
      <c r="D765" s="420"/>
      <c r="E765" s="420"/>
      <c r="F765" s="420"/>
      <c r="G765" s="420"/>
      <c r="H765" s="420"/>
      <c r="I765" s="420"/>
    </row>
    <row r="766" spans="2:9" ht="12.75">
      <c r="B766" s="420"/>
      <c r="C766" s="420"/>
      <c r="D766" s="420"/>
      <c r="E766" s="420"/>
      <c r="F766" s="420"/>
      <c r="G766" s="420"/>
      <c r="H766" s="420"/>
      <c r="I766" s="420"/>
    </row>
    <row r="767" spans="2:9" ht="12.75">
      <c r="B767" s="420"/>
      <c r="C767" s="420"/>
      <c r="D767" s="420"/>
      <c r="E767" s="420"/>
      <c r="F767" s="420"/>
      <c r="G767" s="420"/>
      <c r="H767" s="420"/>
      <c r="I767" s="420"/>
    </row>
    <row r="768" spans="2:9" ht="12.75">
      <c r="B768" s="420"/>
      <c r="C768" s="420"/>
      <c r="D768" s="420"/>
      <c r="E768" s="420"/>
      <c r="F768" s="420"/>
      <c r="G768" s="420"/>
      <c r="H768" s="420"/>
      <c r="I768" s="420"/>
    </row>
    <row r="769" spans="2:9" ht="12.75">
      <c r="B769" s="420"/>
      <c r="C769" s="420"/>
      <c r="D769" s="420"/>
      <c r="E769" s="420"/>
      <c r="F769" s="420"/>
      <c r="G769" s="420"/>
      <c r="H769" s="420"/>
      <c r="I769" s="420"/>
    </row>
    <row r="770" spans="2:9" ht="12.75">
      <c r="B770" s="420"/>
      <c r="C770" s="420"/>
      <c r="D770" s="420"/>
      <c r="E770" s="420"/>
      <c r="F770" s="420"/>
      <c r="G770" s="420"/>
      <c r="H770" s="420"/>
      <c r="I770" s="420"/>
    </row>
    <row r="771" spans="2:9" ht="12.75">
      <c r="B771" s="420"/>
      <c r="C771" s="420"/>
      <c r="D771" s="420"/>
      <c r="E771" s="420"/>
      <c r="F771" s="420"/>
      <c r="G771" s="420"/>
      <c r="H771" s="420"/>
      <c r="I771" s="420"/>
    </row>
    <row r="772" spans="2:9" ht="12.75">
      <c r="B772" s="420"/>
      <c r="C772" s="420"/>
      <c r="D772" s="420"/>
      <c r="E772" s="420"/>
      <c r="F772" s="420"/>
      <c r="G772" s="420"/>
      <c r="H772" s="420"/>
      <c r="I772" s="420"/>
    </row>
    <row r="773" spans="2:9" ht="12.75">
      <c r="B773" s="420"/>
      <c r="C773" s="420"/>
      <c r="D773" s="420"/>
      <c r="E773" s="420"/>
      <c r="F773" s="420"/>
      <c r="G773" s="420"/>
      <c r="H773" s="420"/>
      <c r="I773" s="420"/>
    </row>
    <row r="774" spans="2:9" ht="12.75">
      <c r="B774" s="420"/>
      <c r="C774" s="420"/>
      <c r="D774" s="420"/>
      <c r="E774" s="420"/>
      <c r="F774" s="420"/>
      <c r="G774" s="420"/>
      <c r="H774" s="420"/>
      <c r="I774" s="420"/>
    </row>
    <row r="775" spans="2:9" ht="12.75">
      <c r="B775" s="420"/>
      <c r="C775" s="420"/>
      <c r="D775" s="420"/>
      <c r="E775" s="420"/>
      <c r="F775" s="420"/>
      <c r="G775" s="420"/>
      <c r="H775" s="420"/>
      <c r="I775" s="420"/>
    </row>
    <row r="776" spans="2:9" ht="12.75">
      <c r="B776" s="420"/>
      <c r="C776" s="420"/>
      <c r="D776" s="420"/>
      <c r="E776" s="420"/>
      <c r="F776" s="420"/>
      <c r="G776" s="420"/>
      <c r="H776" s="420"/>
      <c r="I776" s="420"/>
    </row>
    <row r="777" spans="2:9" ht="12.75">
      <c r="B777" s="420"/>
      <c r="C777" s="420"/>
      <c r="D777" s="420"/>
      <c r="E777" s="420"/>
      <c r="F777" s="420"/>
      <c r="G777" s="420"/>
      <c r="H777" s="420"/>
      <c r="I777" s="420"/>
    </row>
    <row r="778" spans="2:9" ht="12.75">
      <c r="B778" s="420"/>
      <c r="C778" s="420"/>
      <c r="D778" s="420"/>
      <c r="E778" s="420"/>
      <c r="F778" s="420"/>
      <c r="G778" s="420"/>
      <c r="H778" s="420"/>
      <c r="I778" s="420"/>
    </row>
    <row r="779" spans="2:9" ht="12.75">
      <c r="B779" s="420"/>
      <c r="C779" s="420"/>
      <c r="D779" s="420"/>
      <c r="E779" s="420"/>
      <c r="F779" s="420"/>
      <c r="G779" s="420"/>
      <c r="H779" s="420"/>
      <c r="I779" s="420"/>
    </row>
    <row r="780" spans="2:9" ht="12.75">
      <c r="B780" s="420"/>
      <c r="C780" s="420"/>
      <c r="D780" s="420"/>
      <c r="E780" s="420"/>
      <c r="F780" s="420"/>
      <c r="G780" s="420"/>
      <c r="H780" s="420"/>
      <c r="I780" s="420"/>
    </row>
    <row r="781" spans="2:9" ht="12.75">
      <c r="B781" s="420"/>
      <c r="C781" s="420"/>
      <c r="D781" s="420"/>
      <c r="E781" s="420"/>
      <c r="F781" s="420"/>
      <c r="G781" s="420"/>
      <c r="H781" s="420"/>
      <c r="I781" s="420"/>
    </row>
    <row r="782" spans="2:9" ht="12.75">
      <c r="B782" s="420"/>
      <c r="C782" s="420"/>
      <c r="D782" s="420"/>
      <c r="E782" s="420"/>
      <c r="F782" s="420"/>
      <c r="G782" s="420"/>
      <c r="H782" s="420"/>
      <c r="I782" s="420"/>
    </row>
    <row r="783" spans="2:9" ht="12.75">
      <c r="B783" s="420"/>
      <c r="C783" s="420"/>
      <c r="D783" s="420"/>
      <c r="E783" s="420"/>
      <c r="F783" s="420"/>
      <c r="G783" s="420"/>
      <c r="H783" s="420"/>
      <c r="I783" s="420"/>
    </row>
    <row r="784" spans="2:9" ht="12.75">
      <c r="B784" s="420"/>
      <c r="C784" s="420"/>
      <c r="D784" s="420"/>
      <c r="E784" s="420"/>
      <c r="F784" s="420"/>
      <c r="G784" s="420"/>
      <c r="H784" s="420"/>
      <c r="I784" s="420"/>
    </row>
    <row r="785" spans="2:9" ht="12.75">
      <c r="B785" s="420"/>
      <c r="C785" s="420"/>
      <c r="D785" s="420"/>
      <c r="E785" s="420"/>
      <c r="F785" s="420"/>
      <c r="G785" s="420"/>
      <c r="H785" s="420"/>
      <c r="I785" s="420"/>
    </row>
    <row r="786" spans="2:9" ht="12.75">
      <c r="B786" s="420"/>
      <c r="C786" s="420"/>
      <c r="D786" s="420"/>
      <c r="E786" s="420"/>
      <c r="F786" s="420"/>
      <c r="G786" s="420"/>
      <c r="H786" s="420"/>
      <c r="I786" s="420"/>
    </row>
    <row r="787" spans="2:9" ht="12.75">
      <c r="B787" s="420"/>
      <c r="C787" s="420"/>
      <c r="D787" s="420"/>
      <c r="E787" s="420"/>
      <c r="F787" s="420"/>
      <c r="G787" s="420"/>
      <c r="H787" s="420"/>
      <c r="I787" s="420"/>
    </row>
    <row r="788" spans="2:9" ht="12.75">
      <c r="B788" s="420"/>
      <c r="C788" s="420"/>
      <c r="D788" s="420"/>
      <c r="E788" s="420"/>
      <c r="F788" s="420"/>
      <c r="G788" s="420"/>
      <c r="H788" s="420"/>
      <c r="I788" s="420"/>
    </row>
    <row r="789" spans="2:9" ht="12.75">
      <c r="B789" s="420"/>
      <c r="C789" s="420"/>
      <c r="D789" s="420"/>
      <c r="E789" s="420"/>
      <c r="F789" s="420"/>
      <c r="G789" s="420"/>
      <c r="H789" s="420"/>
      <c r="I789" s="420"/>
    </row>
    <row r="790" spans="2:9" ht="12.75">
      <c r="B790" s="420"/>
      <c r="C790" s="420"/>
      <c r="D790" s="420"/>
      <c r="E790" s="420"/>
      <c r="F790" s="420"/>
      <c r="G790" s="420"/>
      <c r="H790" s="420"/>
      <c r="I790" s="420"/>
    </row>
    <row r="791" spans="2:9" ht="12.75">
      <c r="B791" s="420"/>
      <c r="C791" s="420"/>
      <c r="D791" s="420"/>
      <c r="E791" s="420"/>
      <c r="F791" s="420"/>
      <c r="G791" s="420"/>
      <c r="H791" s="420"/>
      <c r="I791" s="420"/>
    </row>
    <row r="792" spans="2:9" ht="12.75">
      <c r="B792" s="420"/>
      <c r="C792" s="420"/>
      <c r="D792" s="420"/>
      <c r="E792" s="420"/>
      <c r="F792" s="420"/>
      <c r="G792" s="420"/>
      <c r="H792" s="420"/>
      <c r="I792" s="420"/>
    </row>
    <row r="793" spans="2:9" ht="12.75">
      <c r="B793" s="420"/>
      <c r="C793" s="420"/>
      <c r="D793" s="420"/>
      <c r="E793" s="420"/>
      <c r="F793" s="420"/>
      <c r="G793" s="420"/>
      <c r="H793" s="420"/>
      <c r="I793" s="420"/>
    </row>
    <row r="794" spans="2:9" ht="12.75">
      <c r="B794" s="420"/>
      <c r="C794" s="420"/>
      <c r="D794" s="420"/>
      <c r="E794" s="420"/>
      <c r="F794" s="420"/>
      <c r="G794" s="420"/>
      <c r="H794" s="420"/>
      <c r="I794" s="420"/>
    </row>
    <row r="795" spans="2:9" ht="12.75">
      <c r="B795" s="420"/>
      <c r="C795" s="420"/>
      <c r="D795" s="420"/>
      <c r="E795" s="420"/>
      <c r="F795" s="420"/>
      <c r="G795" s="420"/>
      <c r="H795" s="420"/>
      <c r="I795" s="420"/>
    </row>
    <row r="796" spans="2:9" ht="12.75">
      <c r="B796" s="420"/>
      <c r="C796" s="420"/>
      <c r="D796" s="420"/>
      <c r="E796" s="420"/>
      <c r="F796" s="420"/>
      <c r="G796" s="420"/>
      <c r="H796" s="420"/>
      <c r="I796" s="420"/>
    </row>
    <row r="797" spans="2:9" ht="12.75">
      <c r="B797" s="420"/>
      <c r="C797" s="420"/>
      <c r="D797" s="420"/>
      <c r="E797" s="420"/>
      <c r="F797" s="420"/>
      <c r="G797" s="420"/>
      <c r="H797" s="420"/>
      <c r="I797" s="420"/>
    </row>
    <row r="798" spans="2:9" ht="12.75">
      <c r="B798" s="420"/>
      <c r="C798" s="420"/>
      <c r="D798" s="420"/>
      <c r="E798" s="420"/>
      <c r="F798" s="420"/>
      <c r="G798" s="420"/>
      <c r="H798" s="420"/>
      <c r="I798" s="420"/>
    </row>
    <row r="799" spans="2:9" ht="12.75">
      <c r="B799" s="420"/>
      <c r="C799" s="420"/>
      <c r="D799" s="420"/>
      <c r="E799" s="420"/>
      <c r="F799" s="420"/>
      <c r="G799" s="420"/>
      <c r="H799" s="420"/>
      <c r="I799" s="420"/>
    </row>
    <row r="800" spans="2:9" ht="12.75">
      <c r="B800" s="420"/>
      <c r="C800" s="420"/>
      <c r="D800" s="420"/>
      <c r="E800" s="420"/>
      <c r="F800" s="420"/>
      <c r="G800" s="420"/>
      <c r="H800" s="420"/>
      <c r="I800" s="420"/>
    </row>
    <row r="801" spans="2:9" ht="12.75">
      <c r="B801" s="420"/>
      <c r="C801" s="420"/>
      <c r="D801" s="420"/>
      <c r="E801" s="420"/>
      <c r="F801" s="420"/>
      <c r="G801" s="420"/>
      <c r="H801" s="420"/>
      <c r="I801" s="420"/>
    </row>
    <row r="802" spans="2:9" ht="12.75">
      <c r="B802" s="420"/>
      <c r="C802" s="420"/>
      <c r="D802" s="420"/>
      <c r="E802" s="420"/>
      <c r="F802" s="420"/>
      <c r="G802" s="420"/>
      <c r="H802" s="420"/>
      <c r="I802" s="420"/>
    </row>
    <row r="803" spans="2:9" ht="12.75">
      <c r="B803" s="420"/>
      <c r="C803" s="420"/>
      <c r="D803" s="420"/>
      <c r="E803" s="420"/>
      <c r="F803" s="420"/>
      <c r="G803" s="420"/>
      <c r="H803" s="420"/>
      <c r="I803" s="420"/>
    </row>
    <row r="804" spans="2:9" ht="12.75">
      <c r="B804" s="420"/>
      <c r="C804" s="420"/>
      <c r="D804" s="420"/>
      <c r="E804" s="420"/>
      <c r="F804" s="420"/>
      <c r="G804" s="420"/>
      <c r="H804" s="420"/>
      <c r="I804" s="420"/>
    </row>
    <row r="805" spans="2:9" ht="12.75">
      <c r="B805" s="420"/>
      <c r="C805" s="420"/>
      <c r="D805" s="420"/>
      <c r="E805" s="420"/>
      <c r="F805" s="420"/>
      <c r="G805" s="420"/>
      <c r="H805" s="420"/>
      <c r="I805" s="420"/>
    </row>
    <row r="806" spans="2:9" ht="12.75">
      <c r="B806" s="420"/>
      <c r="C806" s="420"/>
      <c r="D806" s="420"/>
      <c r="E806" s="420"/>
      <c r="F806" s="420"/>
      <c r="G806" s="420"/>
      <c r="H806" s="420"/>
      <c r="I806" s="420"/>
    </row>
    <row r="807" spans="2:9" ht="12.75">
      <c r="B807" s="420"/>
      <c r="C807" s="420"/>
      <c r="D807" s="420"/>
      <c r="E807" s="420"/>
      <c r="F807" s="420"/>
      <c r="G807" s="420"/>
      <c r="H807" s="420"/>
      <c r="I807" s="420"/>
    </row>
    <row r="808" spans="2:9" ht="12.75">
      <c r="B808" s="420"/>
      <c r="C808" s="420"/>
      <c r="D808" s="420"/>
      <c r="E808" s="420"/>
      <c r="F808" s="420"/>
      <c r="G808" s="420"/>
      <c r="H808" s="420"/>
      <c r="I808" s="420"/>
    </row>
    <row r="809" spans="2:9" ht="12.75">
      <c r="B809" s="420"/>
      <c r="C809" s="420"/>
      <c r="D809" s="420"/>
      <c r="E809" s="420"/>
      <c r="F809" s="420"/>
      <c r="G809" s="420"/>
      <c r="H809" s="420"/>
      <c r="I809" s="420"/>
    </row>
    <row r="810" spans="2:9" ht="12.75">
      <c r="B810" s="420"/>
      <c r="C810" s="420"/>
      <c r="D810" s="420"/>
      <c r="E810" s="420"/>
      <c r="F810" s="420"/>
      <c r="G810" s="420"/>
      <c r="H810" s="420"/>
      <c r="I810" s="420"/>
    </row>
    <row r="811" spans="2:9" ht="12.75">
      <c r="B811" s="420"/>
      <c r="C811" s="420"/>
      <c r="D811" s="420"/>
      <c r="E811" s="420"/>
      <c r="F811" s="420"/>
      <c r="G811" s="420"/>
      <c r="H811" s="420"/>
      <c r="I811" s="420"/>
    </row>
    <row r="812" spans="2:9" ht="12.75">
      <c r="B812" s="420"/>
      <c r="C812" s="420"/>
      <c r="D812" s="420"/>
      <c r="E812" s="420"/>
      <c r="F812" s="420"/>
      <c r="G812" s="420"/>
      <c r="H812" s="420"/>
      <c r="I812" s="420"/>
    </row>
    <row r="813" spans="2:9" ht="12.75">
      <c r="B813" s="420"/>
      <c r="C813" s="420"/>
      <c r="D813" s="420"/>
      <c r="E813" s="420"/>
      <c r="F813" s="420"/>
      <c r="G813" s="420"/>
      <c r="H813" s="420"/>
      <c r="I813" s="420"/>
    </row>
    <row r="814" spans="2:9" ht="12.75">
      <c r="B814" s="420"/>
      <c r="C814" s="420"/>
      <c r="D814" s="420"/>
      <c r="E814" s="420"/>
      <c r="F814" s="420"/>
      <c r="G814" s="420"/>
      <c r="H814" s="420"/>
      <c r="I814" s="420"/>
    </row>
    <row r="815" spans="2:9" ht="12.75">
      <c r="B815" s="420"/>
      <c r="C815" s="420"/>
      <c r="D815" s="420"/>
      <c r="E815" s="420"/>
      <c r="F815" s="420"/>
      <c r="G815" s="420"/>
      <c r="H815" s="420"/>
      <c r="I815" s="420"/>
    </row>
    <row r="816" spans="2:9" ht="12.75">
      <c r="B816" s="420"/>
      <c r="C816" s="420"/>
      <c r="D816" s="420"/>
      <c r="E816" s="420"/>
      <c r="F816" s="420"/>
      <c r="G816" s="420"/>
      <c r="H816" s="420"/>
      <c r="I816" s="420"/>
    </row>
    <row r="817" spans="2:9" ht="12.75">
      <c r="B817" s="420"/>
      <c r="C817" s="420"/>
      <c r="D817" s="420"/>
      <c r="E817" s="420"/>
      <c r="F817" s="420"/>
      <c r="G817" s="420"/>
      <c r="H817" s="420"/>
      <c r="I817" s="420"/>
    </row>
    <row r="818" spans="2:9" ht="12.75">
      <c r="B818" s="420"/>
      <c r="C818" s="420"/>
      <c r="D818" s="420"/>
      <c r="E818" s="420"/>
      <c r="F818" s="420"/>
      <c r="G818" s="420"/>
      <c r="H818" s="420"/>
      <c r="I818" s="420"/>
    </row>
    <row r="819" spans="2:9" ht="12.75">
      <c r="B819" s="420"/>
      <c r="C819" s="420"/>
      <c r="D819" s="420"/>
      <c r="E819" s="420"/>
      <c r="F819" s="420"/>
      <c r="G819" s="420"/>
      <c r="H819" s="420"/>
      <c r="I819" s="420"/>
    </row>
    <row r="820" spans="2:9" ht="12.75">
      <c r="B820" s="420"/>
      <c r="C820" s="420"/>
      <c r="D820" s="420"/>
      <c r="E820" s="420"/>
      <c r="F820" s="420"/>
      <c r="G820" s="420"/>
      <c r="H820" s="420"/>
      <c r="I820" s="420"/>
    </row>
    <row r="821" spans="2:9" ht="12.75">
      <c r="B821" s="420"/>
      <c r="C821" s="420"/>
      <c r="D821" s="420"/>
      <c r="E821" s="420"/>
      <c r="F821" s="420"/>
      <c r="G821" s="420"/>
      <c r="H821" s="420"/>
      <c r="I821" s="420"/>
    </row>
    <row r="822" spans="2:9" ht="12.75">
      <c r="B822" s="420"/>
      <c r="C822" s="420"/>
      <c r="D822" s="420"/>
      <c r="E822" s="420"/>
      <c r="F822" s="420"/>
      <c r="G822" s="420"/>
      <c r="H822" s="420"/>
      <c r="I822" s="420"/>
    </row>
    <row r="823" spans="2:9" ht="12.75">
      <c r="B823" s="420"/>
      <c r="C823" s="420"/>
      <c r="D823" s="420"/>
      <c r="E823" s="420"/>
      <c r="F823" s="420"/>
      <c r="G823" s="420"/>
      <c r="H823" s="420"/>
      <c r="I823" s="420"/>
    </row>
    <row r="824" spans="2:9" ht="12.75">
      <c r="B824" s="420"/>
      <c r="C824" s="420"/>
      <c r="D824" s="420"/>
      <c r="E824" s="420"/>
      <c r="F824" s="420"/>
      <c r="G824" s="420"/>
      <c r="H824" s="420"/>
      <c r="I824" s="420"/>
    </row>
    <row r="825" spans="2:9" ht="12.75">
      <c r="B825" s="420"/>
      <c r="C825" s="420"/>
      <c r="D825" s="420"/>
      <c r="E825" s="420"/>
      <c r="F825" s="420"/>
      <c r="G825" s="420"/>
      <c r="H825" s="420"/>
      <c r="I825" s="420"/>
    </row>
    <row r="826" spans="2:9" ht="12.75">
      <c r="B826" s="420"/>
      <c r="C826" s="420"/>
      <c r="D826" s="420"/>
      <c r="E826" s="420"/>
      <c r="F826" s="420"/>
      <c r="G826" s="420"/>
      <c r="H826" s="420"/>
      <c r="I826" s="420"/>
    </row>
    <row r="827" spans="2:9" ht="12.75">
      <c r="B827" s="420"/>
      <c r="C827" s="420"/>
      <c r="D827" s="420"/>
      <c r="E827" s="420"/>
      <c r="F827" s="420"/>
      <c r="G827" s="420"/>
      <c r="H827" s="420"/>
      <c r="I827" s="420"/>
    </row>
    <row r="828" spans="2:9" ht="12.75">
      <c r="B828" s="420"/>
      <c r="C828" s="420"/>
      <c r="D828" s="420"/>
      <c r="E828" s="420"/>
      <c r="F828" s="420"/>
      <c r="G828" s="420"/>
      <c r="H828" s="420"/>
      <c r="I828" s="420"/>
    </row>
    <row r="829" spans="2:9" ht="12.75">
      <c r="B829" s="420"/>
      <c r="C829" s="420"/>
      <c r="D829" s="420"/>
      <c r="E829" s="420"/>
      <c r="F829" s="420"/>
      <c r="G829" s="420"/>
      <c r="H829" s="420"/>
      <c r="I829" s="420"/>
    </row>
    <row r="830" spans="2:9" ht="12.75">
      <c r="B830" s="420"/>
      <c r="C830" s="420"/>
      <c r="D830" s="420"/>
      <c r="E830" s="420"/>
      <c r="F830" s="420"/>
      <c r="G830" s="420"/>
      <c r="H830" s="420"/>
      <c r="I830" s="420"/>
    </row>
    <row r="831" spans="2:9" ht="12.75">
      <c r="B831" s="420"/>
      <c r="C831" s="420"/>
      <c r="D831" s="420"/>
      <c r="E831" s="420"/>
      <c r="F831" s="420"/>
      <c r="G831" s="420"/>
      <c r="H831" s="420"/>
      <c r="I831" s="420"/>
    </row>
    <row r="832" spans="2:9" ht="12.75">
      <c r="B832" s="420"/>
      <c r="C832" s="420"/>
      <c r="D832" s="420"/>
      <c r="E832" s="420"/>
      <c r="F832" s="420"/>
      <c r="G832" s="420"/>
      <c r="H832" s="420"/>
      <c r="I832" s="420"/>
    </row>
    <row r="833" spans="2:9" ht="12.75">
      <c r="B833" s="420"/>
      <c r="C833" s="420"/>
      <c r="D833" s="420"/>
      <c r="E833" s="420"/>
      <c r="F833" s="420"/>
      <c r="G833" s="420"/>
      <c r="H833" s="420"/>
      <c r="I833" s="420"/>
    </row>
    <row r="834" spans="2:9" ht="12.75">
      <c r="B834" s="420"/>
      <c r="C834" s="420"/>
      <c r="D834" s="420"/>
      <c r="E834" s="420"/>
      <c r="F834" s="420"/>
      <c r="G834" s="420"/>
      <c r="H834" s="420"/>
      <c r="I834" s="420"/>
    </row>
    <row r="835" spans="2:9" ht="12.75">
      <c r="B835" s="420"/>
      <c r="C835" s="420"/>
      <c r="D835" s="420"/>
      <c r="E835" s="420"/>
      <c r="F835" s="420"/>
      <c r="G835" s="420"/>
      <c r="H835" s="420"/>
      <c r="I835" s="420"/>
    </row>
    <row r="836" spans="2:9" ht="12.75">
      <c r="B836" s="420"/>
      <c r="C836" s="420"/>
      <c r="D836" s="420"/>
      <c r="E836" s="420"/>
      <c r="F836" s="420"/>
      <c r="G836" s="420"/>
      <c r="H836" s="420"/>
      <c r="I836" s="420"/>
    </row>
    <row r="837" spans="2:9" ht="12.75">
      <c r="B837" s="420"/>
      <c r="C837" s="420"/>
      <c r="D837" s="420"/>
      <c r="E837" s="420"/>
      <c r="F837" s="420"/>
      <c r="G837" s="420"/>
      <c r="H837" s="420"/>
      <c r="I837" s="420"/>
    </row>
    <row r="838" spans="2:9" ht="12.75">
      <c r="B838" s="420"/>
      <c r="C838" s="420"/>
      <c r="D838" s="420"/>
      <c r="E838" s="420"/>
      <c r="F838" s="420"/>
      <c r="G838" s="420"/>
      <c r="H838" s="420"/>
      <c r="I838" s="420"/>
    </row>
    <row r="839" spans="2:9" ht="12.75">
      <c r="B839" s="420"/>
      <c r="C839" s="420"/>
      <c r="D839" s="420"/>
      <c r="E839" s="420"/>
      <c r="F839" s="420"/>
      <c r="G839" s="420"/>
      <c r="H839" s="420"/>
      <c r="I839" s="420"/>
    </row>
    <row r="840" spans="2:9" ht="12.75">
      <c r="B840" s="420"/>
      <c r="C840" s="420"/>
      <c r="D840" s="420"/>
      <c r="E840" s="420"/>
      <c r="F840" s="420"/>
      <c r="G840" s="420"/>
      <c r="H840" s="420"/>
      <c r="I840" s="420"/>
    </row>
    <row r="841" spans="2:9" ht="12.75">
      <c r="B841" s="420"/>
      <c r="C841" s="420"/>
      <c r="D841" s="420"/>
      <c r="E841" s="420"/>
      <c r="F841" s="420"/>
      <c r="G841" s="420"/>
      <c r="H841" s="420"/>
      <c r="I841" s="420"/>
    </row>
    <row r="842" spans="2:9" ht="12.75">
      <c r="B842" s="420"/>
      <c r="C842" s="420"/>
      <c r="D842" s="420"/>
      <c r="E842" s="420"/>
      <c r="F842" s="420"/>
      <c r="G842" s="420"/>
      <c r="H842" s="420"/>
      <c r="I842" s="420"/>
    </row>
    <row r="843" spans="2:9" ht="12.75">
      <c r="B843" s="420"/>
      <c r="C843" s="420"/>
      <c r="D843" s="420"/>
      <c r="E843" s="420"/>
      <c r="F843" s="420"/>
      <c r="G843" s="420"/>
      <c r="H843" s="420"/>
      <c r="I843" s="420"/>
    </row>
    <row r="844" spans="2:9" ht="12.75">
      <c r="B844" s="420"/>
      <c r="C844" s="420"/>
      <c r="D844" s="420"/>
      <c r="E844" s="420"/>
      <c r="F844" s="420"/>
      <c r="G844" s="420"/>
      <c r="H844" s="420"/>
      <c r="I844" s="420"/>
    </row>
    <row r="845" spans="2:9" ht="12.75">
      <c r="B845" s="420"/>
      <c r="C845" s="420"/>
      <c r="D845" s="420"/>
      <c r="E845" s="420"/>
      <c r="F845" s="420"/>
      <c r="G845" s="420"/>
      <c r="H845" s="420"/>
      <c r="I845" s="420"/>
    </row>
    <row r="846" spans="2:9" ht="12.75">
      <c r="B846" s="420"/>
      <c r="C846" s="420"/>
      <c r="D846" s="420"/>
      <c r="E846" s="420"/>
      <c r="F846" s="420"/>
      <c r="G846" s="420"/>
      <c r="H846" s="420"/>
      <c r="I846" s="420"/>
    </row>
    <row r="847" spans="2:9" ht="12.75">
      <c r="B847" s="420"/>
      <c r="C847" s="420"/>
      <c r="D847" s="420"/>
      <c r="E847" s="420"/>
      <c r="F847" s="420"/>
      <c r="G847" s="420"/>
      <c r="H847" s="420"/>
      <c r="I847" s="420"/>
    </row>
    <row r="848" spans="2:9" ht="12.75">
      <c r="B848" s="420"/>
      <c r="C848" s="420"/>
      <c r="D848" s="420"/>
      <c r="E848" s="420"/>
      <c r="F848" s="420"/>
      <c r="G848" s="420"/>
      <c r="H848" s="420"/>
      <c r="I848" s="420"/>
    </row>
    <row r="849" spans="2:9" ht="12.75">
      <c r="B849" s="420"/>
      <c r="C849" s="420"/>
      <c r="D849" s="420"/>
      <c r="E849" s="420"/>
      <c r="F849" s="420"/>
      <c r="G849" s="420"/>
      <c r="H849" s="420"/>
      <c r="I849" s="420"/>
    </row>
    <row r="850" spans="2:9" ht="12.75">
      <c r="B850" s="420"/>
      <c r="C850" s="420"/>
      <c r="D850" s="420"/>
      <c r="E850" s="420"/>
      <c r="F850" s="420"/>
      <c r="G850" s="420"/>
      <c r="H850" s="420"/>
      <c r="I850" s="420"/>
    </row>
    <row r="851" spans="2:9" ht="12.75">
      <c r="B851" s="420"/>
      <c r="C851" s="420"/>
      <c r="D851" s="420"/>
      <c r="E851" s="420"/>
      <c r="F851" s="420"/>
      <c r="G851" s="420"/>
      <c r="H851" s="420"/>
      <c r="I851" s="420"/>
    </row>
    <row r="852" spans="2:9" ht="12.75">
      <c r="B852" s="420"/>
      <c r="C852" s="420"/>
      <c r="D852" s="420"/>
      <c r="E852" s="420"/>
      <c r="F852" s="420"/>
      <c r="G852" s="420"/>
      <c r="H852" s="420"/>
      <c r="I852" s="420"/>
    </row>
    <row r="853" spans="2:9" ht="12.75">
      <c r="B853" s="420"/>
      <c r="C853" s="420"/>
      <c r="D853" s="420"/>
      <c r="E853" s="420"/>
      <c r="F853" s="420"/>
      <c r="G853" s="420"/>
      <c r="H853" s="420"/>
      <c r="I853" s="420"/>
    </row>
    <row r="854" spans="2:9" ht="12.75">
      <c r="B854" s="420"/>
      <c r="C854" s="420"/>
      <c r="D854" s="420"/>
      <c r="E854" s="420"/>
      <c r="F854" s="420"/>
      <c r="G854" s="420"/>
      <c r="H854" s="420"/>
      <c r="I854" s="420"/>
    </row>
    <row r="855" spans="2:9" ht="12.75">
      <c r="B855" s="420"/>
      <c r="C855" s="420"/>
      <c r="D855" s="420"/>
      <c r="E855" s="420"/>
      <c r="F855" s="420"/>
      <c r="G855" s="420"/>
      <c r="H855" s="420"/>
      <c r="I855" s="420"/>
    </row>
    <row r="856" spans="2:9" ht="12.75">
      <c r="B856" s="420"/>
      <c r="C856" s="420"/>
      <c r="D856" s="420"/>
      <c r="E856" s="420"/>
      <c r="F856" s="420"/>
      <c r="G856" s="420"/>
      <c r="H856" s="420"/>
      <c r="I856" s="420"/>
    </row>
    <row r="857" spans="2:9" ht="12.75">
      <c r="B857" s="420"/>
      <c r="C857" s="420"/>
      <c r="D857" s="420"/>
      <c r="E857" s="420"/>
      <c r="F857" s="420"/>
      <c r="G857" s="420"/>
      <c r="H857" s="420"/>
      <c r="I857" s="420"/>
    </row>
    <row r="858" spans="2:9" ht="12.75">
      <c r="B858" s="420"/>
      <c r="C858" s="420"/>
      <c r="D858" s="420"/>
      <c r="E858" s="420"/>
      <c r="F858" s="420"/>
      <c r="G858" s="420"/>
      <c r="H858" s="420"/>
      <c r="I858" s="420"/>
    </row>
    <row r="859" spans="2:9" ht="12.75">
      <c r="B859" s="420"/>
      <c r="C859" s="420"/>
      <c r="D859" s="420"/>
      <c r="E859" s="420"/>
      <c r="F859" s="420"/>
      <c r="G859" s="420"/>
      <c r="H859" s="420"/>
      <c r="I859" s="420"/>
    </row>
    <row r="860" spans="2:9" ht="12.75">
      <c r="B860" s="420"/>
      <c r="C860" s="420"/>
      <c r="D860" s="420"/>
      <c r="E860" s="420"/>
      <c r="F860" s="420"/>
      <c r="G860" s="420"/>
      <c r="H860" s="420"/>
      <c r="I860" s="420"/>
    </row>
    <row r="861" spans="2:9" ht="12.75">
      <c r="B861" s="420"/>
      <c r="C861" s="420"/>
      <c r="D861" s="420"/>
      <c r="E861" s="420"/>
      <c r="F861" s="420"/>
      <c r="G861" s="420"/>
      <c r="H861" s="420"/>
      <c r="I861" s="420"/>
    </row>
    <row r="862" spans="2:9" ht="12.75">
      <c r="B862" s="420"/>
      <c r="C862" s="420"/>
      <c r="D862" s="420"/>
      <c r="E862" s="420"/>
      <c r="F862" s="420"/>
      <c r="G862" s="420"/>
      <c r="H862" s="420"/>
      <c r="I862" s="420"/>
    </row>
    <row r="863" spans="2:9" ht="12.75">
      <c r="B863" s="420"/>
      <c r="C863" s="420"/>
      <c r="D863" s="420"/>
      <c r="E863" s="420"/>
      <c r="F863" s="420"/>
      <c r="G863" s="420"/>
      <c r="H863" s="420"/>
      <c r="I863" s="420"/>
    </row>
    <row r="864" spans="2:9" ht="12.75">
      <c r="B864" s="420"/>
      <c r="C864" s="420"/>
      <c r="D864" s="420"/>
      <c r="E864" s="420"/>
      <c r="F864" s="420"/>
      <c r="G864" s="420"/>
      <c r="H864" s="420"/>
      <c r="I864" s="420"/>
    </row>
    <row r="865" spans="2:9" ht="12.75">
      <c r="B865" s="420"/>
      <c r="C865" s="420"/>
      <c r="D865" s="420"/>
      <c r="E865" s="420"/>
      <c r="F865" s="420"/>
      <c r="G865" s="420"/>
      <c r="H865" s="420"/>
      <c r="I865" s="420"/>
    </row>
    <row r="866" spans="2:9" ht="12.75">
      <c r="B866" s="420"/>
      <c r="C866" s="420"/>
      <c r="D866" s="420"/>
      <c r="E866" s="420"/>
      <c r="F866" s="420"/>
      <c r="G866" s="420"/>
      <c r="H866" s="420"/>
      <c r="I866" s="420"/>
    </row>
    <row r="867" spans="2:9" ht="12.75">
      <c r="B867" s="420"/>
      <c r="C867" s="420"/>
      <c r="D867" s="420"/>
      <c r="E867" s="420"/>
      <c r="F867" s="420"/>
      <c r="G867" s="420"/>
      <c r="H867" s="420"/>
      <c r="I867" s="420"/>
    </row>
    <row r="868" spans="2:9" ht="12.75">
      <c r="B868" s="420"/>
      <c r="C868" s="420"/>
      <c r="D868" s="420"/>
      <c r="E868" s="420"/>
      <c r="F868" s="420"/>
      <c r="G868" s="420"/>
      <c r="H868" s="420"/>
      <c r="I868" s="420"/>
    </row>
    <row r="869" spans="2:9" ht="12.75">
      <c r="B869" s="420"/>
      <c r="C869" s="420"/>
      <c r="D869" s="420"/>
      <c r="E869" s="420"/>
      <c r="F869" s="420"/>
      <c r="G869" s="420"/>
      <c r="H869" s="420"/>
      <c r="I869" s="420"/>
    </row>
    <row r="870" spans="2:9" ht="12.75">
      <c r="B870" s="420"/>
      <c r="C870" s="420"/>
      <c r="D870" s="420"/>
      <c r="E870" s="420"/>
      <c r="F870" s="420"/>
      <c r="G870" s="420"/>
      <c r="H870" s="420"/>
      <c r="I870" s="420"/>
    </row>
    <row r="871" spans="2:9" ht="12.75">
      <c r="B871" s="420"/>
      <c r="C871" s="420"/>
      <c r="D871" s="420"/>
      <c r="E871" s="420"/>
      <c r="F871" s="420"/>
      <c r="G871" s="420"/>
      <c r="H871" s="420"/>
      <c r="I871" s="420"/>
    </row>
    <row r="872" spans="2:9" ht="12.75">
      <c r="B872" s="420"/>
      <c r="C872" s="420"/>
      <c r="D872" s="420"/>
      <c r="E872" s="420"/>
      <c r="F872" s="420"/>
      <c r="G872" s="420"/>
      <c r="H872" s="420"/>
      <c r="I872" s="420"/>
    </row>
    <row r="873" spans="2:9" ht="12.75">
      <c r="B873" s="420"/>
      <c r="C873" s="420"/>
      <c r="D873" s="420"/>
      <c r="E873" s="420"/>
      <c r="F873" s="420"/>
      <c r="G873" s="420"/>
      <c r="H873" s="420"/>
      <c r="I873" s="420"/>
    </row>
    <row r="874" spans="2:9" ht="12.75">
      <c r="B874" s="420"/>
      <c r="C874" s="420"/>
      <c r="D874" s="420"/>
      <c r="E874" s="420"/>
      <c r="F874" s="420"/>
      <c r="G874" s="420"/>
      <c r="H874" s="420"/>
      <c r="I874" s="420"/>
    </row>
    <row r="875" spans="2:9" ht="12.75">
      <c r="B875" s="420"/>
      <c r="C875" s="420"/>
      <c r="D875" s="420"/>
      <c r="E875" s="420"/>
      <c r="F875" s="420"/>
      <c r="G875" s="420"/>
      <c r="H875" s="420"/>
      <c r="I875" s="420"/>
    </row>
    <row r="876" spans="2:9" ht="12.75">
      <c r="B876" s="420"/>
      <c r="C876" s="420"/>
      <c r="D876" s="420"/>
      <c r="E876" s="420"/>
      <c r="F876" s="420"/>
      <c r="G876" s="420"/>
      <c r="H876" s="420"/>
      <c r="I876" s="420"/>
    </row>
    <row r="877" spans="2:9" ht="12.75">
      <c r="B877" s="420"/>
      <c r="C877" s="420"/>
      <c r="D877" s="420"/>
      <c r="E877" s="420"/>
      <c r="F877" s="420"/>
      <c r="G877" s="420"/>
      <c r="H877" s="420"/>
      <c r="I877" s="420"/>
    </row>
    <row r="878" spans="2:9" ht="12.75">
      <c r="B878" s="420"/>
      <c r="C878" s="420"/>
      <c r="D878" s="420"/>
      <c r="E878" s="420"/>
      <c r="F878" s="420"/>
      <c r="G878" s="420"/>
      <c r="H878" s="420"/>
      <c r="I878" s="420"/>
    </row>
    <row r="879" spans="2:9" ht="12.75">
      <c r="B879" s="420"/>
      <c r="C879" s="420"/>
      <c r="D879" s="420"/>
      <c r="E879" s="420"/>
      <c r="F879" s="420"/>
      <c r="G879" s="420"/>
      <c r="H879" s="420"/>
      <c r="I879" s="420"/>
    </row>
    <row r="880" spans="2:9" ht="12.75">
      <c r="B880" s="420"/>
      <c r="C880" s="420"/>
      <c r="D880" s="420"/>
      <c r="E880" s="420"/>
      <c r="F880" s="420"/>
      <c r="G880" s="420"/>
      <c r="H880" s="420"/>
      <c r="I880" s="420"/>
    </row>
    <row r="881" spans="2:9" ht="12.75">
      <c r="B881" s="420"/>
      <c r="C881" s="420"/>
      <c r="D881" s="420"/>
      <c r="E881" s="420"/>
      <c r="F881" s="420"/>
      <c r="G881" s="420"/>
      <c r="H881" s="420"/>
      <c r="I881" s="420"/>
    </row>
    <row r="882" spans="2:9" ht="12.75">
      <c r="B882" s="420"/>
      <c r="C882" s="420"/>
      <c r="D882" s="420"/>
      <c r="E882" s="420"/>
      <c r="F882" s="420"/>
      <c r="G882" s="420"/>
      <c r="H882" s="420"/>
      <c r="I882" s="420"/>
    </row>
    <row r="883" spans="2:9" ht="12.75">
      <c r="B883" s="420"/>
      <c r="C883" s="420"/>
      <c r="D883" s="420"/>
      <c r="E883" s="420"/>
      <c r="F883" s="420"/>
      <c r="G883" s="420"/>
      <c r="H883" s="420"/>
      <c r="I883" s="420"/>
    </row>
    <row r="884" spans="2:9" ht="12.75">
      <c r="B884" s="420"/>
      <c r="C884" s="420"/>
      <c r="D884" s="420"/>
      <c r="E884" s="420"/>
      <c r="F884" s="420"/>
      <c r="G884" s="420"/>
      <c r="H884" s="420"/>
      <c r="I884" s="420"/>
    </row>
    <row r="885" spans="2:9" ht="12.75">
      <c r="B885" s="420"/>
      <c r="C885" s="420"/>
      <c r="D885" s="420"/>
      <c r="E885" s="420"/>
      <c r="F885" s="420"/>
      <c r="G885" s="420"/>
      <c r="H885" s="420"/>
      <c r="I885" s="420"/>
    </row>
    <row r="886" spans="2:9" ht="12.75">
      <c r="B886" s="420"/>
      <c r="C886" s="420"/>
      <c r="D886" s="420"/>
      <c r="E886" s="420"/>
      <c r="F886" s="420"/>
      <c r="G886" s="420"/>
      <c r="H886" s="420"/>
      <c r="I886" s="420"/>
    </row>
    <row r="887" spans="2:9" ht="12.75">
      <c r="B887" s="420"/>
      <c r="C887" s="420"/>
      <c r="D887" s="420"/>
      <c r="E887" s="420"/>
      <c r="F887" s="420"/>
      <c r="G887" s="420"/>
      <c r="H887" s="420"/>
      <c r="I887" s="420"/>
    </row>
    <row r="888" spans="2:9" ht="12.75">
      <c r="B888" s="420"/>
      <c r="C888" s="420"/>
      <c r="D888" s="420"/>
      <c r="E888" s="420"/>
      <c r="F888" s="420"/>
      <c r="G888" s="420"/>
      <c r="H888" s="420"/>
      <c r="I888" s="420"/>
    </row>
    <row r="889" spans="2:9" ht="12.75">
      <c r="B889" s="420"/>
      <c r="C889" s="420"/>
      <c r="D889" s="420"/>
      <c r="E889" s="420"/>
      <c r="F889" s="420"/>
      <c r="G889" s="420"/>
      <c r="H889" s="420"/>
      <c r="I889" s="420"/>
    </row>
    <row r="890" spans="2:9" ht="12.75">
      <c r="B890" s="420"/>
      <c r="C890" s="420"/>
      <c r="D890" s="420"/>
      <c r="E890" s="420"/>
      <c r="F890" s="420"/>
      <c r="G890" s="420"/>
      <c r="H890" s="420"/>
      <c r="I890" s="420"/>
    </row>
    <row r="891" spans="2:9" ht="12.75">
      <c r="B891" s="420"/>
      <c r="C891" s="420"/>
      <c r="D891" s="420"/>
      <c r="E891" s="420"/>
      <c r="F891" s="420"/>
      <c r="G891" s="420"/>
      <c r="H891" s="420"/>
      <c r="I891" s="420"/>
    </row>
    <row r="892" spans="2:9" ht="12.75">
      <c r="B892" s="420"/>
      <c r="C892" s="420"/>
      <c r="D892" s="420"/>
      <c r="E892" s="420"/>
      <c r="F892" s="420"/>
      <c r="G892" s="420"/>
      <c r="H892" s="420"/>
      <c r="I892" s="420"/>
    </row>
    <row r="893" spans="2:9" ht="12.75">
      <c r="B893" s="420"/>
      <c r="C893" s="420"/>
      <c r="D893" s="420"/>
      <c r="E893" s="420"/>
      <c r="F893" s="420"/>
      <c r="G893" s="420"/>
      <c r="H893" s="420"/>
      <c r="I893" s="420"/>
    </row>
    <row r="894" spans="2:9" ht="12.75">
      <c r="B894" s="420"/>
      <c r="C894" s="420"/>
      <c r="D894" s="420"/>
      <c r="E894" s="420"/>
      <c r="F894" s="420"/>
      <c r="G894" s="420"/>
      <c r="H894" s="420"/>
      <c r="I894" s="420"/>
    </row>
    <row r="895" spans="2:9" ht="12.75">
      <c r="B895" s="420"/>
      <c r="C895" s="420"/>
      <c r="D895" s="420"/>
      <c r="E895" s="420"/>
      <c r="F895" s="420"/>
      <c r="G895" s="420"/>
      <c r="H895" s="420"/>
      <c r="I895" s="420"/>
    </row>
    <row r="896" spans="2:9" ht="12.75">
      <c r="B896" s="420"/>
      <c r="C896" s="420"/>
      <c r="D896" s="420"/>
      <c r="E896" s="420"/>
      <c r="F896" s="420"/>
      <c r="G896" s="420"/>
      <c r="H896" s="420"/>
      <c r="I896" s="420"/>
    </row>
    <row r="897" spans="2:9" ht="12.75">
      <c r="B897" s="420"/>
      <c r="C897" s="420"/>
      <c r="D897" s="420"/>
      <c r="E897" s="420"/>
      <c r="F897" s="420"/>
      <c r="G897" s="420"/>
      <c r="H897" s="420"/>
      <c r="I897" s="420"/>
    </row>
    <row r="898" spans="2:9" ht="12.75">
      <c r="B898" s="420"/>
      <c r="C898" s="420"/>
      <c r="D898" s="420"/>
      <c r="E898" s="420"/>
      <c r="F898" s="420"/>
      <c r="G898" s="420"/>
      <c r="H898" s="420"/>
      <c r="I898" s="420"/>
    </row>
    <row r="899" spans="2:9" ht="12.75">
      <c r="B899" s="420"/>
      <c r="C899" s="420"/>
      <c r="D899" s="420"/>
      <c r="E899" s="420"/>
      <c r="F899" s="420"/>
      <c r="G899" s="420"/>
      <c r="H899" s="420"/>
      <c r="I899" s="420"/>
    </row>
    <row r="900" spans="2:9" ht="12.75">
      <c r="B900" s="420"/>
      <c r="C900" s="420"/>
      <c r="D900" s="420"/>
      <c r="E900" s="420"/>
      <c r="F900" s="420"/>
      <c r="G900" s="420"/>
      <c r="H900" s="420"/>
      <c r="I900" s="420"/>
    </row>
    <row r="901" spans="2:9" ht="12.75">
      <c r="B901" s="420"/>
      <c r="C901" s="420"/>
      <c r="D901" s="420"/>
      <c r="E901" s="420"/>
      <c r="F901" s="420"/>
      <c r="G901" s="420"/>
      <c r="H901" s="420"/>
      <c r="I901" s="420"/>
    </row>
    <row r="902" spans="2:9" ht="12.75">
      <c r="B902" s="420"/>
      <c r="C902" s="420"/>
      <c r="D902" s="420"/>
      <c r="E902" s="420"/>
      <c r="F902" s="420"/>
      <c r="G902" s="420"/>
      <c r="H902" s="420"/>
      <c r="I902" s="420"/>
    </row>
    <row r="903" spans="2:9" ht="12.75">
      <c r="B903" s="420"/>
      <c r="C903" s="420"/>
      <c r="D903" s="420"/>
      <c r="E903" s="420"/>
      <c r="F903" s="420"/>
      <c r="G903" s="420"/>
      <c r="H903" s="420"/>
      <c r="I903" s="420"/>
    </row>
    <row r="904" spans="2:9" ht="12.75">
      <c r="B904" s="420"/>
      <c r="C904" s="420"/>
      <c r="D904" s="420"/>
      <c r="E904" s="420"/>
      <c r="F904" s="420"/>
      <c r="G904" s="420"/>
      <c r="H904" s="420"/>
      <c r="I904" s="420"/>
    </row>
    <row r="905" spans="2:9" ht="12.75">
      <c r="B905" s="420"/>
      <c r="C905" s="420"/>
      <c r="D905" s="420"/>
      <c r="E905" s="420"/>
      <c r="F905" s="420"/>
      <c r="G905" s="420"/>
      <c r="H905" s="420"/>
      <c r="I905" s="420"/>
    </row>
    <row r="906" spans="2:9" ht="12.75">
      <c r="B906" s="420"/>
      <c r="C906" s="420"/>
      <c r="D906" s="420"/>
      <c r="E906" s="420"/>
      <c r="F906" s="420"/>
      <c r="G906" s="420"/>
      <c r="H906" s="420"/>
      <c r="I906" s="420"/>
    </row>
    <row r="907" spans="2:9" ht="12.75">
      <c r="B907" s="420"/>
      <c r="C907" s="420"/>
      <c r="D907" s="420"/>
      <c r="E907" s="420"/>
      <c r="F907" s="420"/>
      <c r="G907" s="420"/>
      <c r="H907" s="420"/>
      <c r="I907" s="420"/>
    </row>
    <row r="908" spans="2:9" ht="12.75">
      <c r="B908" s="420"/>
      <c r="C908" s="420"/>
      <c r="D908" s="420"/>
      <c r="E908" s="420"/>
      <c r="F908" s="420"/>
      <c r="G908" s="420"/>
      <c r="H908" s="420"/>
      <c r="I908" s="420"/>
    </row>
    <row r="909" spans="2:9" ht="12.75">
      <c r="B909" s="420"/>
      <c r="C909" s="420"/>
      <c r="D909" s="420"/>
      <c r="E909" s="420"/>
      <c r="F909" s="420"/>
      <c r="G909" s="420"/>
      <c r="H909" s="420"/>
      <c r="I909" s="420"/>
    </row>
    <row r="910" spans="2:9" ht="12.75">
      <c r="B910" s="420"/>
      <c r="C910" s="420"/>
      <c r="D910" s="420"/>
      <c r="E910" s="420"/>
      <c r="F910" s="420"/>
      <c r="G910" s="420"/>
      <c r="H910" s="420"/>
      <c r="I910" s="420"/>
    </row>
    <row r="911" spans="2:9" ht="12.75">
      <c r="B911" s="420"/>
      <c r="C911" s="420"/>
      <c r="D911" s="420"/>
      <c r="E911" s="420"/>
      <c r="F911" s="420"/>
      <c r="G911" s="420"/>
      <c r="H911" s="420"/>
      <c r="I911" s="420"/>
    </row>
    <row r="912" spans="2:9" ht="12.75">
      <c r="B912" s="420"/>
      <c r="C912" s="420"/>
      <c r="D912" s="420"/>
      <c r="E912" s="420"/>
      <c r="F912" s="420"/>
      <c r="G912" s="420"/>
      <c r="H912" s="420"/>
      <c r="I912" s="420"/>
    </row>
    <row r="913" spans="2:9" ht="12.75">
      <c r="B913" s="420"/>
      <c r="C913" s="420"/>
      <c r="D913" s="420"/>
      <c r="E913" s="420"/>
      <c r="F913" s="420"/>
      <c r="G913" s="420"/>
      <c r="H913" s="420"/>
      <c r="I913" s="420"/>
    </row>
    <row r="914" spans="2:9" ht="12.75">
      <c r="B914" s="420"/>
      <c r="C914" s="420"/>
      <c r="D914" s="420"/>
      <c r="E914" s="420"/>
      <c r="F914" s="420"/>
      <c r="G914" s="420"/>
      <c r="H914" s="420"/>
      <c r="I914" s="420"/>
    </row>
    <row r="915" spans="2:9" ht="12.75">
      <c r="B915" s="420"/>
      <c r="C915" s="420"/>
      <c r="D915" s="420"/>
      <c r="E915" s="420"/>
      <c r="F915" s="420"/>
      <c r="G915" s="420"/>
      <c r="H915" s="420"/>
      <c r="I915" s="420"/>
    </row>
    <row r="916" spans="2:9" ht="12.75">
      <c r="B916" s="420"/>
      <c r="C916" s="420"/>
      <c r="D916" s="420"/>
      <c r="E916" s="420"/>
      <c r="F916" s="420"/>
      <c r="G916" s="420"/>
      <c r="H916" s="420"/>
      <c r="I916" s="420"/>
    </row>
    <row r="917" spans="2:9" ht="12.75">
      <c r="B917" s="420"/>
      <c r="C917" s="420"/>
      <c r="D917" s="420"/>
      <c r="E917" s="420"/>
      <c r="F917" s="420"/>
      <c r="G917" s="420"/>
      <c r="H917" s="420"/>
      <c r="I917" s="420"/>
    </row>
    <row r="918" spans="2:9" ht="12.75">
      <c r="B918" s="420"/>
      <c r="C918" s="420"/>
      <c r="D918" s="420"/>
      <c r="E918" s="420"/>
      <c r="F918" s="420"/>
      <c r="G918" s="420"/>
      <c r="H918" s="420"/>
      <c r="I918" s="420"/>
    </row>
    <row r="919" spans="2:9" ht="12.75">
      <c r="B919" s="420"/>
      <c r="C919" s="420"/>
      <c r="D919" s="420"/>
      <c r="E919" s="420"/>
      <c r="F919" s="420"/>
      <c r="G919" s="420"/>
      <c r="H919" s="420"/>
      <c r="I919" s="420"/>
    </row>
    <row r="920" spans="2:9" ht="12.75">
      <c r="B920" s="420"/>
      <c r="C920" s="420"/>
      <c r="D920" s="420"/>
      <c r="E920" s="420"/>
      <c r="F920" s="420"/>
      <c r="G920" s="420"/>
      <c r="H920" s="420"/>
      <c r="I920" s="420"/>
    </row>
    <row r="921" spans="2:9" ht="12.75">
      <c r="B921" s="420"/>
      <c r="C921" s="420"/>
      <c r="D921" s="420"/>
      <c r="E921" s="420"/>
      <c r="F921" s="420"/>
      <c r="G921" s="420"/>
      <c r="H921" s="420"/>
      <c r="I921" s="420"/>
    </row>
    <row r="922" spans="2:9" ht="12.75">
      <c r="B922" s="420"/>
      <c r="C922" s="420"/>
      <c r="D922" s="420"/>
      <c r="E922" s="420"/>
      <c r="F922" s="420"/>
      <c r="G922" s="420"/>
      <c r="H922" s="420"/>
      <c r="I922" s="420"/>
    </row>
    <row r="923" spans="2:9" ht="12.75">
      <c r="B923" s="420"/>
      <c r="C923" s="420"/>
      <c r="D923" s="420"/>
      <c r="E923" s="420"/>
      <c r="F923" s="420"/>
      <c r="G923" s="420"/>
      <c r="H923" s="420"/>
      <c r="I923" s="420"/>
    </row>
    <row r="924" spans="2:9" ht="12.75">
      <c r="B924" s="420"/>
      <c r="C924" s="420"/>
      <c r="D924" s="420"/>
      <c r="E924" s="420"/>
      <c r="F924" s="420"/>
      <c r="G924" s="420"/>
      <c r="H924" s="420"/>
      <c r="I924" s="420"/>
    </row>
    <row r="925" spans="2:9" ht="12.75">
      <c r="B925" s="420"/>
      <c r="C925" s="420"/>
      <c r="D925" s="420"/>
      <c r="E925" s="420"/>
      <c r="F925" s="420"/>
      <c r="G925" s="420"/>
      <c r="H925" s="420"/>
      <c r="I925" s="420"/>
    </row>
    <row r="926" spans="2:9" ht="12.75">
      <c r="B926" s="420"/>
      <c r="C926" s="420"/>
      <c r="D926" s="420"/>
      <c r="E926" s="420"/>
      <c r="F926" s="420"/>
      <c r="G926" s="420"/>
      <c r="H926" s="420"/>
      <c r="I926" s="420"/>
    </row>
    <row r="927" spans="2:9" ht="12.75">
      <c r="B927" s="420"/>
      <c r="C927" s="420"/>
      <c r="D927" s="420"/>
      <c r="E927" s="420"/>
      <c r="F927" s="420"/>
      <c r="G927" s="420"/>
      <c r="H927" s="420"/>
      <c r="I927" s="420"/>
    </row>
    <row r="928" spans="2:9" ht="12.75">
      <c r="B928" s="420"/>
      <c r="C928" s="420"/>
      <c r="D928" s="420"/>
      <c r="E928" s="420"/>
      <c r="F928" s="420"/>
      <c r="G928" s="420"/>
      <c r="H928" s="420"/>
      <c r="I928" s="420"/>
    </row>
    <row r="929" spans="2:9" ht="12.75">
      <c r="B929" s="420"/>
      <c r="C929" s="420"/>
      <c r="D929" s="420"/>
      <c r="E929" s="420"/>
      <c r="F929" s="420"/>
      <c r="G929" s="420"/>
      <c r="H929" s="420"/>
      <c r="I929" s="420"/>
    </row>
    <row r="930" spans="2:9" ht="12.75">
      <c r="B930" s="420"/>
      <c r="C930" s="420"/>
      <c r="D930" s="420"/>
      <c r="E930" s="420"/>
      <c r="F930" s="420"/>
      <c r="G930" s="420"/>
      <c r="H930" s="420"/>
      <c r="I930" s="420"/>
    </row>
    <row r="931" spans="2:9" ht="12.75">
      <c r="B931" s="420"/>
      <c r="C931" s="420"/>
      <c r="D931" s="420"/>
      <c r="E931" s="420"/>
      <c r="F931" s="420"/>
      <c r="G931" s="420"/>
      <c r="H931" s="420"/>
      <c r="I931" s="420"/>
    </row>
    <row r="932" spans="2:9" ht="12.75">
      <c r="B932" s="420"/>
      <c r="C932" s="420"/>
      <c r="D932" s="420"/>
      <c r="E932" s="420"/>
      <c r="F932" s="420"/>
      <c r="G932" s="420"/>
      <c r="H932" s="420"/>
      <c r="I932" s="420"/>
    </row>
    <row r="933" spans="2:9" ht="12.75">
      <c r="B933" s="420"/>
      <c r="C933" s="420"/>
      <c r="D933" s="420"/>
      <c r="E933" s="420"/>
      <c r="F933" s="420"/>
      <c r="G933" s="420"/>
      <c r="H933" s="420"/>
      <c r="I933" s="420"/>
    </row>
    <row r="934" spans="2:9" ht="12.75">
      <c r="B934" s="420"/>
      <c r="C934" s="420"/>
      <c r="D934" s="420"/>
      <c r="E934" s="420"/>
      <c r="F934" s="420"/>
      <c r="G934" s="420"/>
      <c r="H934" s="420"/>
      <c r="I934" s="420"/>
    </row>
    <row r="935" spans="2:9" ht="12.75">
      <c r="B935" s="420"/>
      <c r="C935" s="420"/>
      <c r="D935" s="420"/>
      <c r="E935" s="420"/>
      <c r="F935" s="420"/>
      <c r="G935" s="420"/>
      <c r="H935" s="420"/>
      <c r="I935" s="420"/>
    </row>
    <row r="936" spans="2:9" ht="12.75">
      <c r="B936" s="420"/>
      <c r="C936" s="420"/>
      <c r="D936" s="420"/>
      <c r="E936" s="420"/>
      <c r="F936" s="420"/>
      <c r="G936" s="420"/>
      <c r="H936" s="420"/>
      <c r="I936" s="420"/>
    </row>
    <row r="937" spans="2:9" ht="12.75">
      <c r="B937" s="420"/>
      <c r="C937" s="420"/>
      <c r="D937" s="420"/>
      <c r="E937" s="420"/>
      <c r="F937" s="420"/>
      <c r="G937" s="420"/>
      <c r="H937" s="420"/>
      <c r="I937" s="420"/>
    </row>
    <row r="938" spans="2:9" ht="12.75">
      <c r="B938" s="420"/>
      <c r="C938" s="420"/>
      <c r="D938" s="420"/>
      <c r="E938" s="420"/>
      <c r="F938" s="420"/>
      <c r="G938" s="420"/>
      <c r="H938" s="420"/>
      <c r="I938" s="420"/>
    </row>
    <row r="939" spans="2:9" ht="12.75">
      <c r="B939" s="420"/>
      <c r="C939" s="420"/>
      <c r="D939" s="420"/>
      <c r="E939" s="420"/>
      <c r="F939" s="420"/>
      <c r="G939" s="420"/>
      <c r="H939" s="420"/>
      <c r="I939" s="420"/>
    </row>
    <row r="940" spans="2:9" ht="12.75">
      <c r="B940" s="420"/>
      <c r="C940" s="420"/>
      <c r="D940" s="420"/>
      <c r="E940" s="420"/>
      <c r="F940" s="420"/>
      <c r="G940" s="420"/>
      <c r="H940" s="420"/>
      <c r="I940" s="420"/>
    </row>
    <row r="941" spans="2:9" ht="12.75">
      <c r="B941" s="420"/>
      <c r="C941" s="420"/>
      <c r="D941" s="420"/>
      <c r="E941" s="420"/>
      <c r="F941" s="420"/>
      <c r="G941" s="420"/>
      <c r="H941" s="420"/>
      <c r="I941" s="420"/>
    </row>
    <row r="942" spans="2:9" ht="12.75">
      <c r="B942" s="420"/>
      <c r="C942" s="420"/>
      <c r="D942" s="420"/>
      <c r="E942" s="420"/>
      <c r="F942" s="420"/>
      <c r="G942" s="420"/>
      <c r="H942" s="420"/>
      <c r="I942" s="420"/>
    </row>
    <row r="943" spans="2:9" ht="12.75">
      <c r="B943" s="420"/>
      <c r="C943" s="420"/>
      <c r="D943" s="420"/>
      <c r="E943" s="420"/>
      <c r="F943" s="420"/>
      <c r="G943" s="420"/>
      <c r="H943" s="420"/>
      <c r="I943" s="420"/>
    </row>
    <row r="944" spans="2:9" ht="12.75">
      <c r="B944" s="420"/>
      <c r="C944" s="420"/>
      <c r="D944" s="420"/>
      <c r="E944" s="420"/>
      <c r="F944" s="420"/>
      <c r="G944" s="420"/>
      <c r="H944" s="420"/>
      <c r="I944" s="420"/>
    </row>
    <row r="945" spans="2:9" ht="12.75">
      <c r="B945" s="420"/>
      <c r="C945" s="420"/>
      <c r="D945" s="420"/>
      <c r="E945" s="420"/>
      <c r="F945" s="420"/>
      <c r="G945" s="420"/>
      <c r="H945" s="420"/>
      <c r="I945" s="420"/>
    </row>
    <row r="946" spans="2:9" ht="12.75">
      <c r="B946" s="420"/>
      <c r="C946" s="420"/>
      <c r="D946" s="420"/>
      <c r="E946" s="420"/>
      <c r="F946" s="420"/>
      <c r="G946" s="420"/>
      <c r="H946" s="420"/>
      <c r="I946" s="420"/>
    </row>
    <row r="947" spans="2:9" ht="12.75">
      <c r="B947" s="420"/>
      <c r="C947" s="420"/>
      <c r="D947" s="420"/>
      <c r="E947" s="420"/>
      <c r="F947" s="420"/>
      <c r="G947" s="420"/>
      <c r="H947" s="420"/>
      <c r="I947" s="420"/>
    </row>
    <row r="948" spans="2:9" ht="12.75">
      <c r="B948" s="420"/>
      <c r="C948" s="420"/>
      <c r="D948" s="420"/>
      <c r="E948" s="420"/>
      <c r="F948" s="420"/>
      <c r="G948" s="420"/>
      <c r="H948" s="420"/>
      <c r="I948" s="420"/>
    </row>
    <row r="949" spans="2:9" ht="12.75">
      <c r="B949" s="420"/>
      <c r="C949" s="420"/>
      <c r="D949" s="420"/>
      <c r="E949" s="420"/>
      <c r="F949" s="420"/>
      <c r="G949" s="420"/>
      <c r="H949" s="420"/>
      <c r="I949" s="420"/>
    </row>
    <row r="950" spans="2:9" ht="12.75">
      <c r="B950" s="420"/>
      <c r="C950" s="420"/>
      <c r="D950" s="420"/>
      <c r="E950" s="420"/>
      <c r="F950" s="420"/>
      <c r="G950" s="420"/>
      <c r="H950" s="420"/>
      <c r="I950" s="420"/>
    </row>
    <row r="951" spans="2:9" ht="12.75">
      <c r="B951" s="420"/>
      <c r="C951" s="420"/>
      <c r="D951" s="420"/>
      <c r="E951" s="420"/>
      <c r="F951" s="420"/>
      <c r="G951" s="420"/>
      <c r="H951" s="420"/>
      <c r="I951" s="420"/>
    </row>
    <row r="952" spans="2:9" ht="12.75">
      <c r="B952" s="420"/>
      <c r="C952" s="420"/>
      <c r="D952" s="420"/>
      <c r="E952" s="420"/>
      <c r="F952" s="420"/>
      <c r="G952" s="420"/>
      <c r="H952" s="420"/>
      <c r="I952" s="420"/>
    </row>
    <row r="953" spans="2:9" ht="12.75">
      <c r="B953" s="420"/>
      <c r="C953" s="420"/>
      <c r="D953" s="420"/>
      <c r="E953" s="420"/>
      <c r="F953" s="420"/>
      <c r="G953" s="420"/>
      <c r="H953" s="420"/>
      <c r="I953" s="420"/>
    </row>
    <row r="954" spans="2:9" ht="12.75">
      <c r="B954" s="420"/>
      <c r="C954" s="420"/>
      <c r="D954" s="420"/>
      <c r="E954" s="420"/>
      <c r="F954" s="420"/>
      <c r="G954" s="420"/>
      <c r="H954" s="420"/>
      <c r="I954" s="420"/>
    </row>
    <row r="955" spans="2:9" ht="12.75">
      <c r="B955" s="420"/>
      <c r="C955" s="420"/>
      <c r="D955" s="420"/>
      <c r="E955" s="420"/>
      <c r="F955" s="420"/>
      <c r="G955" s="420"/>
      <c r="H955" s="420"/>
      <c r="I955" s="420"/>
    </row>
    <row r="956" spans="2:9" ht="12.75">
      <c r="B956" s="420"/>
      <c r="C956" s="420"/>
      <c r="D956" s="420"/>
      <c r="E956" s="420"/>
      <c r="F956" s="420"/>
      <c r="G956" s="420"/>
      <c r="H956" s="420"/>
      <c r="I956" s="420"/>
    </row>
    <row r="957" spans="2:9" ht="12.75">
      <c r="B957" s="420"/>
      <c r="C957" s="420"/>
      <c r="D957" s="420"/>
      <c r="E957" s="420"/>
      <c r="F957" s="420"/>
      <c r="G957" s="420"/>
      <c r="H957" s="420"/>
      <c r="I957" s="420"/>
    </row>
    <row r="958" spans="2:9" ht="12.75">
      <c r="B958" s="420"/>
      <c r="C958" s="420"/>
      <c r="D958" s="420"/>
      <c r="E958" s="420"/>
      <c r="F958" s="420"/>
      <c r="G958" s="420"/>
      <c r="H958" s="420"/>
      <c r="I958" s="420"/>
    </row>
    <row r="959" spans="2:9" ht="12.75">
      <c r="B959" s="420"/>
      <c r="C959" s="420"/>
      <c r="D959" s="420"/>
      <c r="E959" s="420"/>
      <c r="F959" s="420"/>
      <c r="G959" s="420"/>
      <c r="H959" s="420"/>
      <c r="I959" s="420"/>
    </row>
    <row r="960" spans="2:9" ht="12.75">
      <c r="B960" s="420"/>
      <c r="C960" s="420"/>
      <c r="D960" s="420"/>
      <c r="E960" s="420"/>
      <c r="F960" s="420"/>
      <c r="G960" s="420"/>
      <c r="H960" s="420"/>
      <c r="I960" s="420"/>
    </row>
    <row r="961" spans="2:9" ht="12.75">
      <c r="B961" s="420"/>
      <c r="C961" s="420"/>
      <c r="D961" s="420"/>
      <c r="E961" s="420"/>
      <c r="F961" s="420"/>
      <c r="G961" s="420"/>
      <c r="H961" s="420"/>
      <c r="I961" s="420"/>
    </row>
    <row r="962" spans="2:9" ht="12.75">
      <c r="B962" s="420"/>
      <c r="C962" s="420"/>
      <c r="D962" s="420"/>
      <c r="E962" s="420"/>
      <c r="F962" s="420"/>
      <c r="G962" s="420"/>
      <c r="H962" s="420"/>
      <c r="I962" s="420"/>
    </row>
    <row r="963" spans="2:9" ht="12.75">
      <c r="B963" s="420"/>
      <c r="C963" s="420"/>
      <c r="D963" s="420"/>
      <c r="E963" s="420"/>
      <c r="F963" s="420"/>
      <c r="G963" s="420"/>
      <c r="H963" s="420"/>
      <c r="I963" s="420"/>
    </row>
    <row r="964" spans="2:9" ht="12.75">
      <c r="B964" s="420"/>
      <c r="C964" s="420"/>
      <c r="D964" s="420"/>
      <c r="E964" s="420"/>
      <c r="F964" s="420"/>
      <c r="G964" s="420"/>
      <c r="H964" s="420"/>
      <c r="I964" s="420"/>
    </row>
    <row r="965" spans="2:9" ht="12.75">
      <c r="B965" s="420"/>
      <c r="C965" s="420"/>
      <c r="D965" s="420"/>
      <c r="E965" s="420"/>
      <c r="F965" s="420"/>
      <c r="G965" s="420"/>
      <c r="H965" s="420"/>
      <c r="I965" s="420"/>
    </row>
    <row r="966" spans="2:9" ht="12.75">
      <c r="B966" s="420"/>
      <c r="C966" s="420"/>
      <c r="D966" s="420"/>
      <c r="E966" s="420"/>
      <c r="F966" s="420"/>
      <c r="G966" s="420"/>
      <c r="H966" s="420"/>
      <c r="I966" s="420"/>
    </row>
    <row r="967" spans="2:9" ht="12.75">
      <c r="B967" s="420"/>
      <c r="C967" s="420"/>
      <c r="D967" s="420"/>
      <c r="E967" s="420"/>
      <c r="F967" s="420"/>
      <c r="G967" s="420"/>
      <c r="H967" s="420"/>
      <c r="I967" s="420"/>
    </row>
    <row r="968" spans="2:9" ht="12.75">
      <c r="B968" s="420"/>
      <c r="C968" s="420"/>
      <c r="D968" s="420"/>
      <c r="E968" s="420"/>
      <c r="F968" s="420"/>
      <c r="G968" s="420"/>
      <c r="H968" s="420"/>
      <c r="I968" s="420"/>
    </row>
    <row r="969" spans="2:9" ht="12.75">
      <c r="B969" s="420"/>
      <c r="C969" s="420"/>
      <c r="D969" s="420"/>
      <c r="E969" s="420"/>
      <c r="F969" s="420"/>
      <c r="G969" s="420"/>
      <c r="H969" s="420"/>
      <c r="I969" s="420"/>
    </row>
    <row r="970" spans="2:9" ht="12.75">
      <c r="B970" s="420"/>
      <c r="C970" s="420"/>
      <c r="D970" s="420"/>
      <c r="E970" s="420"/>
      <c r="F970" s="420"/>
      <c r="G970" s="420"/>
      <c r="H970" s="420"/>
      <c r="I970" s="420"/>
    </row>
    <row r="971" spans="2:9" ht="12.75">
      <c r="B971" s="420"/>
      <c r="C971" s="420"/>
      <c r="D971" s="420"/>
      <c r="E971" s="420"/>
      <c r="F971" s="420"/>
      <c r="G971" s="420"/>
      <c r="H971" s="420"/>
      <c r="I971" s="420"/>
    </row>
    <row r="972" spans="2:9" ht="12.75">
      <c r="B972" s="420"/>
      <c r="C972" s="420"/>
      <c r="D972" s="420"/>
      <c r="E972" s="420"/>
      <c r="F972" s="420"/>
      <c r="G972" s="420"/>
      <c r="H972" s="420"/>
      <c r="I972" s="420"/>
    </row>
    <row r="973" spans="2:9" ht="12.75">
      <c r="B973" s="420"/>
      <c r="C973" s="420"/>
      <c r="D973" s="420"/>
      <c r="E973" s="420"/>
      <c r="F973" s="420"/>
      <c r="G973" s="420"/>
      <c r="H973" s="420"/>
      <c r="I973" s="420"/>
    </row>
    <row r="974" spans="2:9" ht="12.75">
      <c r="B974" s="420"/>
      <c r="C974" s="420"/>
      <c r="D974" s="420"/>
      <c r="E974" s="420"/>
      <c r="F974" s="420"/>
      <c r="G974" s="420"/>
      <c r="H974" s="420"/>
      <c r="I974" s="420"/>
    </row>
    <row r="975" spans="2:9" ht="12.75">
      <c r="B975" s="420"/>
      <c r="C975" s="420"/>
      <c r="D975" s="420"/>
      <c r="E975" s="420"/>
      <c r="F975" s="420"/>
      <c r="G975" s="420"/>
      <c r="H975" s="420"/>
      <c r="I975" s="420"/>
    </row>
    <row r="976" spans="2:9" ht="12.75">
      <c r="B976" s="420"/>
      <c r="C976" s="420"/>
      <c r="D976" s="420"/>
      <c r="E976" s="420"/>
      <c r="F976" s="420"/>
      <c r="G976" s="420"/>
      <c r="H976" s="420"/>
      <c r="I976" s="420"/>
    </row>
    <row r="977" spans="2:9" ht="12.75">
      <c r="B977" s="420"/>
      <c r="C977" s="420"/>
      <c r="D977" s="420"/>
      <c r="E977" s="420"/>
      <c r="F977" s="420"/>
      <c r="G977" s="420"/>
      <c r="H977" s="420"/>
      <c r="I977" s="420"/>
    </row>
    <row r="978" spans="2:9" ht="12.75">
      <c r="B978" s="420"/>
      <c r="C978" s="420"/>
      <c r="D978" s="420"/>
      <c r="E978" s="420"/>
      <c r="F978" s="420"/>
      <c r="G978" s="420"/>
      <c r="H978" s="420"/>
      <c r="I978" s="420"/>
    </row>
    <row r="979" spans="2:9" ht="12.75">
      <c r="B979" s="420"/>
      <c r="C979" s="420"/>
      <c r="D979" s="420"/>
      <c r="E979" s="420"/>
      <c r="F979" s="420"/>
      <c r="G979" s="420"/>
      <c r="H979" s="420"/>
      <c r="I979" s="420"/>
    </row>
    <row r="980" spans="2:9" ht="12.75">
      <c r="B980" s="420"/>
      <c r="C980" s="420"/>
      <c r="D980" s="420"/>
      <c r="E980" s="420"/>
      <c r="F980" s="420"/>
      <c r="G980" s="420"/>
      <c r="H980" s="420"/>
      <c r="I980" s="420"/>
    </row>
    <row r="981" spans="2:9" ht="12.75">
      <c r="B981" s="420"/>
      <c r="C981" s="420"/>
      <c r="D981" s="420"/>
      <c r="E981" s="420"/>
      <c r="F981" s="420"/>
      <c r="G981" s="420"/>
      <c r="H981" s="420"/>
      <c r="I981" s="420"/>
    </row>
    <row r="982" spans="2:9" ht="12.75">
      <c r="B982" s="420"/>
      <c r="C982" s="420"/>
      <c r="D982" s="420"/>
      <c r="E982" s="420"/>
      <c r="F982" s="420"/>
      <c r="G982" s="420"/>
      <c r="H982" s="420"/>
      <c r="I982" s="420"/>
    </row>
    <row r="983" spans="2:9" ht="12.75">
      <c r="B983" s="420"/>
      <c r="C983" s="420"/>
      <c r="D983" s="420"/>
      <c r="E983" s="420"/>
      <c r="F983" s="420"/>
      <c r="G983" s="420"/>
      <c r="H983" s="420"/>
      <c r="I983" s="420"/>
    </row>
    <row r="984" spans="2:9" ht="12.75">
      <c r="B984" s="420"/>
      <c r="C984" s="420"/>
      <c r="D984" s="420"/>
      <c r="E984" s="420"/>
      <c r="F984" s="420"/>
      <c r="G984" s="420"/>
      <c r="H984" s="420"/>
      <c r="I984" s="420"/>
    </row>
    <row r="985" spans="2:9" ht="12.75">
      <c r="B985" s="420"/>
      <c r="C985" s="420"/>
      <c r="D985" s="420"/>
      <c r="E985" s="420"/>
      <c r="F985" s="420"/>
      <c r="G985" s="420"/>
      <c r="H985" s="420"/>
      <c r="I985" s="420"/>
    </row>
    <row r="986" spans="2:9" ht="12.75">
      <c r="B986" s="420"/>
      <c r="C986" s="420"/>
      <c r="D986" s="420"/>
      <c r="E986" s="420"/>
      <c r="F986" s="420"/>
      <c r="G986" s="420"/>
      <c r="H986" s="420"/>
      <c r="I986" s="420"/>
    </row>
    <row r="987" spans="2:9" ht="12.75">
      <c r="B987" s="420"/>
      <c r="C987" s="420"/>
      <c r="D987" s="420"/>
      <c r="E987" s="420"/>
      <c r="F987" s="420"/>
      <c r="G987" s="420"/>
      <c r="H987" s="420"/>
      <c r="I987" s="420"/>
    </row>
    <row r="988" spans="2:9" ht="12.75">
      <c r="B988" s="420"/>
      <c r="C988" s="420"/>
      <c r="D988" s="420"/>
      <c r="E988" s="420"/>
      <c r="F988" s="420"/>
      <c r="G988" s="420"/>
      <c r="H988" s="420"/>
      <c r="I988" s="420"/>
    </row>
    <row r="989" spans="2:9" ht="12.75">
      <c r="B989" s="420"/>
      <c r="C989" s="420"/>
      <c r="D989" s="420"/>
      <c r="E989" s="420"/>
      <c r="F989" s="420"/>
      <c r="G989" s="420"/>
      <c r="H989" s="420"/>
      <c r="I989" s="420"/>
    </row>
    <row r="990" spans="2:9" ht="12.75">
      <c r="B990" s="420"/>
      <c r="C990" s="420"/>
      <c r="D990" s="420"/>
      <c r="E990" s="420"/>
      <c r="F990" s="420"/>
      <c r="G990" s="420"/>
      <c r="H990" s="420"/>
      <c r="I990" s="420"/>
    </row>
    <row r="991" spans="2:9" ht="12.75">
      <c r="B991" s="420"/>
      <c r="C991" s="420"/>
      <c r="D991" s="420"/>
      <c r="E991" s="420"/>
      <c r="F991" s="420"/>
      <c r="G991" s="420"/>
      <c r="H991" s="420"/>
      <c r="I991" s="420"/>
    </row>
    <row r="992" spans="2:9" ht="12.75">
      <c r="B992" s="420"/>
      <c r="C992" s="420"/>
      <c r="D992" s="420"/>
      <c r="E992" s="420"/>
      <c r="F992" s="420"/>
      <c r="G992" s="420"/>
      <c r="H992" s="420"/>
      <c r="I992" s="420"/>
    </row>
    <row r="993" spans="2:9" ht="12.75">
      <c r="B993" s="420"/>
      <c r="C993" s="420"/>
      <c r="D993" s="420"/>
      <c r="E993" s="420"/>
      <c r="F993" s="420"/>
      <c r="G993" s="420"/>
      <c r="H993" s="420"/>
      <c r="I993" s="420"/>
    </row>
    <row r="994" spans="2:9" ht="12.75">
      <c r="B994" s="420"/>
      <c r="C994" s="420"/>
      <c r="D994" s="420"/>
      <c r="E994" s="420"/>
      <c r="F994" s="420"/>
      <c r="G994" s="420"/>
      <c r="H994" s="420"/>
      <c r="I994" s="420"/>
    </row>
    <row r="995" spans="2:9" ht="12.75">
      <c r="B995" s="420"/>
      <c r="C995" s="420"/>
      <c r="D995" s="420"/>
      <c r="E995" s="420"/>
      <c r="F995" s="420"/>
      <c r="G995" s="420"/>
      <c r="H995" s="420"/>
      <c r="I995" s="420"/>
    </row>
    <row r="996" spans="2:9" ht="12.75">
      <c r="B996" s="420"/>
      <c r="C996" s="420"/>
      <c r="D996" s="420"/>
      <c r="E996" s="420"/>
      <c r="F996" s="420"/>
      <c r="G996" s="420"/>
      <c r="H996" s="420"/>
      <c r="I996" s="420"/>
    </row>
    <row r="997" spans="2:9" ht="12.75">
      <c r="B997" s="420"/>
      <c r="C997" s="420"/>
      <c r="D997" s="420"/>
      <c r="E997" s="420"/>
      <c r="F997" s="420"/>
      <c r="G997" s="420"/>
      <c r="H997" s="420"/>
      <c r="I997" s="420"/>
    </row>
    <row r="998" spans="2:9" ht="12.75">
      <c r="B998" s="420"/>
      <c r="C998" s="420"/>
      <c r="D998" s="420"/>
      <c r="E998" s="420"/>
      <c r="F998" s="420"/>
      <c r="G998" s="420"/>
      <c r="H998" s="420"/>
      <c r="I998" s="420"/>
    </row>
    <row r="999" spans="2:9" ht="12.75">
      <c r="B999" s="420"/>
      <c r="C999" s="420"/>
      <c r="D999" s="420"/>
      <c r="E999" s="420"/>
      <c r="F999" s="420"/>
      <c r="G999" s="420"/>
      <c r="H999" s="420"/>
      <c r="I999" s="420"/>
    </row>
    <row r="1000" spans="2:9" ht="12.75">
      <c r="B1000" s="420"/>
      <c r="C1000" s="420"/>
      <c r="D1000" s="420"/>
      <c r="E1000" s="420"/>
      <c r="F1000" s="420"/>
      <c r="G1000" s="420"/>
      <c r="H1000" s="420"/>
      <c r="I1000" s="420"/>
    </row>
    <row r="1001" spans="2:9" ht="12.75">
      <c r="B1001" s="420"/>
      <c r="C1001" s="420"/>
      <c r="D1001" s="420"/>
      <c r="E1001" s="420"/>
      <c r="F1001" s="420"/>
      <c r="G1001" s="420"/>
      <c r="H1001" s="420"/>
      <c r="I1001" s="420"/>
    </row>
    <row r="1002" spans="2:9" ht="12.75">
      <c r="B1002" s="420"/>
      <c r="C1002" s="420"/>
      <c r="D1002" s="420"/>
      <c r="E1002" s="420"/>
      <c r="F1002" s="420"/>
      <c r="G1002" s="420"/>
      <c r="H1002" s="420"/>
      <c r="I1002" s="420"/>
    </row>
    <row r="1003" spans="2:9" ht="12.75">
      <c r="B1003" s="420"/>
      <c r="C1003" s="420"/>
      <c r="D1003" s="420"/>
      <c r="E1003" s="420"/>
      <c r="F1003" s="420"/>
      <c r="G1003" s="420"/>
      <c r="H1003" s="420"/>
      <c r="I1003" s="420"/>
    </row>
    <row r="1004" spans="2:9" ht="12.75">
      <c r="B1004" s="420"/>
      <c r="C1004" s="420"/>
      <c r="D1004" s="420"/>
      <c r="E1004" s="420"/>
      <c r="F1004" s="420"/>
      <c r="G1004" s="420"/>
      <c r="H1004" s="420"/>
      <c r="I1004" s="420"/>
    </row>
    <row r="1005" spans="2:9" ht="12.75">
      <c r="B1005" s="420"/>
      <c r="C1005" s="420"/>
      <c r="D1005" s="420"/>
      <c r="E1005" s="420"/>
      <c r="F1005" s="420"/>
      <c r="G1005" s="420"/>
      <c r="H1005" s="420"/>
      <c r="I1005" s="420"/>
    </row>
    <row r="1006" spans="2:9" ht="12.75">
      <c r="B1006" s="420"/>
      <c r="C1006" s="420"/>
      <c r="D1006" s="420"/>
      <c r="E1006" s="420"/>
      <c r="F1006" s="420"/>
      <c r="G1006" s="420"/>
      <c r="H1006" s="420"/>
      <c r="I1006" s="420"/>
    </row>
    <row r="1007" spans="2:9" ht="12.75">
      <c r="B1007" s="420"/>
      <c r="C1007" s="420"/>
      <c r="D1007" s="420"/>
      <c r="E1007" s="420"/>
      <c r="F1007" s="420"/>
      <c r="G1007" s="420"/>
      <c r="H1007" s="420"/>
      <c r="I1007" s="420"/>
    </row>
    <row r="1008" spans="2:9" ht="12.75">
      <c r="B1008" s="420"/>
      <c r="C1008" s="420"/>
      <c r="D1008" s="420"/>
      <c r="E1008" s="420"/>
      <c r="F1008" s="420"/>
      <c r="G1008" s="420"/>
      <c r="H1008" s="420"/>
      <c r="I1008" s="420"/>
    </row>
    <row r="1009" spans="2:9" ht="12.75">
      <c r="B1009" s="420"/>
      <c r="C1009" s="420"/>
      <c r="D1009" s="420"/>
      <c r="E1009" s="420"/>
      <c r="F1009" s="420"/>
      <c r="G1009" s="420"/>
      <c r="H1009" s="420"/>
      <c r="I1009" s="420"/>
    </row>
    <row r="1010" spans="2:9" ht="12.75">
      <c r="B1010" s="420"/>
      <c r="C1010" s="420"/>
      <c r="D1010" s="420"/>
      <c r="E1010" s="420"/>
      <c r="F1010" s="420"/>
      <c r="G1010" s="420"/>
      <c r="H1010" s="420"/>
      <c r="I1010" s="420"/>
    </row>
    <row r="1011" spans="2:9" ht="12.75">
      <c r="B1011" s="420"/>
      <c r="C1011" s="420"/>
      <c r="D1011" s="420"/>
      <c r="E1011" s="420"/>
      <c r="F1011" s="420"/>
      <c r="G1011" s="420"/>
      <c r="H1011" s="420"/>
      <c r="I1011" s="420"/>
    </row>
    <row r="1012" spans="2:9" ht="12.75">
      <c r="B1012" s="420"/>
      <c r="C1012" s="420"/>
      <c r="D1012" s="420"/>
      <c r="E1012" s="420"/>
      <c r="F1012" s="420"/>
      <c r="G1012" s="420"/>
      <c r="H1012" s="420"/>
      <c r="I1012" s="420"/>
    </row>
    <row r="1013" spans="2:9" ht="12.75">
      <c r="B1013" s="420"/>
      <c r="C1013" s="420"/>
      <c r="D1013" s="420"/>
      <c r="E1013" s="420"/>
      <c r="F1013" s="420"/>
      <c r="G1013" s="420"/>
      <c r="H1013" s="420"/>
      <c r="I1013" s="420"/>
    </row>
    <row r="1014" spans="2:9" ht="12.75">
      <c r="B1014" s="420"/>
      <c r="C1014" s="420"/>
      <c r="D1014" s="420"/>
      <c r="E1014" s="420"/>
      <c r="F1014" s="420"/>
      <c r="G1014" s="420"/>
      <c r="H1014" s="420"/>
      <c r="I1014" s="420"/>
    </row>
    <row r="1015" spans="2:9" ht="12.75">
      <c r="B1015" s="420"/>
      <c r="C1015" s="420"/>
      <c r="D1015" s="420"/>
      <c r="E1015" s="420"/>
      <c r="F1015" s="420"/>
      <c r="G1015" s="420"/>
      <c r="H1015" s="420"/>
      <c r="I1015" s="420"/>
    </row>
    <row r="1016" spans="2:9" ht="12.75">
      <c r="B1016" s="420"/>
      <c r="C1016" s="420"/>
      <c r="D1016" s="420"/>
      <c r="E1016" s="420"/>
      <c r="F1016" s="420"/>
      <c r="G1016" s="420"/>
      <c r="H1016" s="420"/>
      <c r="I1016" s="420"/>
    </row>
    <row r="1017" spans="2:9" ht="12.75">
      <c r="B1017" s="420"/>
      <c r="C1017" s="420"/>
      <c r="D1017" s="420"/>
      <c r="E1017" s="420"/>
      <c r="F1017" s="420"/>
      <c r="G1017" s="420"/>
      <c r="H1017" s="420"/>
      <c r="I1017" s="420"/>
    </row>
    <row r="1018" spans="2:9" ht="12.75">
      <c r="B1018" s="420"/>
      <c r="C1018" s="420"/>
      <c r="D1018" s="420"/>
      <c r="E1018" s="420"/>
      <c r="F1018" s="420"/>
      <c r="G1018" s="420"/>
      <c r="H1018" s="420"/>
      <c r="I1018" s="420"/>
    </row>
    <row r="1019" spans="2:9" ht="12.75">
      <c r="B1019" s="420"/>
      <c r="C1019" s="420"/>
      <c r="D1019" s="420"/>
      <c r="E1019" s="420"/>
      <c r="F1019" s="420"/>
      <c r="G1019" s="420"/>
      <c r="H1019" s="420"/>
      <c r="I1019" s="420"/>
    </row>
    <row r="1020" spans="2:9" ht="12.75">
      <c r="B1020" s="420"/>
      <c r="C1020" s="420"/>
      <c r="D1020" s="420"/>
      <c r="E1020" s="420"/>
      <c r="F1020" s="420"/>
      <c r="G1020" s="420"/>
      <c r="H1020" s="420"/>
      <c r="I1020" s="420"/>
    </row>
    <row r="1021" spans="2:9" ht="12.75">
      <c r="B1021" s="420"/>
      <c r="C1021" s="420"/>
      <c r="D1021" s="420"/>
      <c r="E1021" s="420"/>
      <c r="F1021" s="420"/>
      <c r="G1021" s="420"/>
      <c r="H1021" s="420"/>
      <c r="I1021" s="420"/>
    </row>
    <row r="1022" spans="2:9" ht="12.75">
      <c r="B1022" s="420"/>
      <c r="C1022" s="420"/>
      <c r="D1022" s="420"/>
      <c r="E1022" s="420"/>
      <c r="F1022" s="420"/>
      <c r="G1022" s="420"/>
      <c r="H1022" s="420"/>
      <c r="I1022" s="420"/>
    </row>
    <row r="1023" spans="2:9" ht="12.75">
      <c r="B1023" s="420"/>
      <c r="C1023" s="420"/>
      <c r="D1023" s="420"/>
      <c r="E1023" s="420"/>
      <c r="F1023" s="420"/>
      <c r="G1023" s="420"/>
      <c r="H1023" s="420"/>
      <c r="I1023" s="420"/>
    </row>
    <row r="1024" spans="2:9" ht="12.75">
      <c r="B1024" s="420"/>
      <c r="C1024" s="420"/>
      <c r="D1024" s="420"/>
      <c r="E1024" s="420"/>
      <c r="F1024" s="420"/>
      <c r="G1024" s="420"/>
      <c r="H1024" s="420"/>
      <c r="I1024" s="420"/>
    </row>
    <row r="1025" spans="2:9" ht="12.75">
      <c r="B1025" s="420"/>
      <c r="C1025" s="420"/>
      <c r="D1025" s="420"/>
      <c r="E1025" s="420"/>
      <c r="F1025" s="420"/>
      <c r="G1025" s="420"/>
      <c r="H1025" s="420"/>
      <c r="I1025" s="420"/>
    </row>
    <row r="1026" spans="2:9" ht="12.75">
      <c r="B1026" s="420"/>
      <c r="C1026" s="420"/>
      <c r="D1026" s="420"/>
      <c r="E1026" s="420"/>
      <c r="F1026" s="420"/>
      <c r="G1026" s="420"/>
      <c r="H1026" s="420"/>
      <c r="I1026" s="420"/>
    </row>
    <row r="1027" spans="2:9" ht="12.75">
      <c r="B1027" s="420"/>
      <c r="C1027" s="420"/>
      <c r="D1027" s="420"/>
      <c r="E1027" s="420"/>
      <c r="F1027" s="420"/>
      <c r="G1027" s="420"/>
      <c r="H1027" s="420"/>
      <c r="I1027" s="420"/>
    </row>
    <row r="1028" spans="2:9" ht="12.75">
      <c r="B1028" s="420"/>
      <c r="C1028" s="420"/>
      <c r="D1028" s="420"/>
      <c r="E1028" s="420"/>
      <c r="F1028" s="420"/>
      <c r="G1028" s="420"/>
      <c r="H1028" s="420"/>
      <c r="I1028" s="420"/>
    </row>
    <row r="1029" spans="2:9" ht="12.75">
      <c r="B1029" s="420"/>
      <c r="C1029" s="420"/>
      <c r="D1029" s="420"/>
      <c r="E1029" s="420"/>
      <c r="F1029" s="420"/>
      <c r="G1029" s="420"/>
      <c r="H1029" s="420"/>
      <c r="I1029" s="420"/>
    </row>
    <row r="1030" spans="2:9" ht="12.75">
      <c r="B1030" s="420"/>
      <c r="C1030" s="420"/>
      <c r="D1030" s="420"/>
      <c r="E1030" s="420"/>
      <c r="F1030" s="420"/>
      <c r="G1030" s="420"/>
      <c r="H1030" s="420"/>
      <c r="I1030" s="420"/>
    </row>
    <row r="1031" spans="2:9" ht="12.75">
      <c r="B1031" s="420"/>
      <c r="C1031" s="420"/>
      <c r="D1031" s="420"/>
      <c r="E1031" s="420"/>
      <c r="F1031" s="420"/>
      <c r="G1031" s="420"/>
      <c r="H1031" s="420"/>
      <c r="I1031" s="420"/>
    </row>
    <row r="1032" spans="2:9" ht="12.75">
      <c r="B1032" s="420"/>
      <c r="C1032" s="420"/>
      <c r="D1032" s="420"/>
      <c r="E1032" s="420"/>
      <c r="F1032" s="420"/>
      <c r="G1032" s="420"/>
      <c r="H1032" s="420"/>
      <c r="I1032" s="420"/>
    </row>
    <row r="1033" spans="2:9" ht="12.75">
      <c r="B1033" s="420"/>
      <c r="C1033" s="420"/>
      <c r="D1033" s="420"/>
      <c r="E1033" s="420"/>
      <c r="F1033" s="420"/>
      <c r="G1033" s="420"/>
      <c r="H1033" s="420"/>
      <c r="I1033" s="420"/>
    </row>
    <row r="1034" spans="2:9" ht="12.75">
      <c r="B1034" s="420"/>
      <c r="C1034" s="420"/>
      <c r="D1034" s="420"/>
      <c r="E1034" s="420"/>
      <c r="F1034" s="420"/>
      <c r="G1034" s="420"/>
      <c r="H1034" s="420"/>
      <c r="I1034" s="420"/>
    </row>
    <row r="1035" spans="2:9" ht="12.75">
      <c r="B1035" s="420"/>
      <c r="C1035" s="420"/>
      <c r="D1035" s="420"/>
      <c r="E1035" s="420"/>
      <c r="F1035" s="420"/>
      <c r="G1035" s="420"/>
      <c r="H1035" s="420"/>
      <c r="I1035" s="420"/>
    </row>
    <row r="1036" spans="2:9" ht="12.75">
      <c r="B1036" s="420"/>
      <c r="C1036" s="420"/>
      <c r="D1036" s="420"/>
      <c r="E1036" s="420"/>
      <c r="F1036" s="420"/>
      <c r="G1036" s="420"/>
      <c r="H1036" s="420"/>
      <c r="I1036" s="420"/>
    </row>
    <row r="1037" spans="2:9" ht="12.75">
      <c r="B1037" s="420"/>
      <c r="C1037" s="420"/>
      <c r="D1037" s="420"/>
      <c r="E1037" s="420"/>
      <c r="F1037" s="420"/>
      <c r="G1037" s="420"/>
      <c r="H1037" s="420"/>
      <c r="I1037" s="420"/>
    </row>
    <row r="1038" spans="2:9" ht="12.75">
      <c r="B1038" s="420"/>
      <c r="C1038" s="420"/>
      <c r="D1038" s="420"/>
      <c r="E1038" s="420"/>
      <c r="F1038" s="420"/>
      <c r="G1038" s="420"/>
      <c r="H1038" s="420"/>
      <c r="I1038" s="420"/>
    </row>
    <row r="1039" spans="2:9" ht="12.75">
      <c r="B1039" s="420"/>
      <c r="C1039" s="420"/>
      <c r="D1039" s="420"/>
      <c r="E1039" s="420"/>
      <c r="F1039" s="420"/>
      <c r="G1039" s="420"/>
      <c r="H1039" s="420"/>
      <c r="I1039" s="420"/>
    </row>
    <row r="1040" spans="2:9" ht="12.75">
      <c r="B1040" s="420"/>
      <c r="C1040" s="420"/>
      <c r="D1040" s="420"/>
      <c r="E1040" s="420"/>
      <c r="F1040" s="420"/>
      <c r="G1040" s="420"/>
      <c r="H1040" s="420"/>
      <c r="I1040" s="420"/>
    </row>
    <row r="1041" spans="2:9" ht="12.75">
      <c r="B1041" s="420"/>
      <c r="C1041" s="420"/>
      <c r="D1041" s="420"/>
      <c r="E1041" s="420"/>
      <c r="F1041" s="420"/>
      <c r="G1041" s="420"/>
      <c r="H1041" s="420"/>
      <c r="I1041" s="420"/>
    </row>
    <row r="1042" spans="2:9" ht="12.75">
      <c r="B1042" s="420"/>
      <c r="C1042" s="420"/>
      <c r="D1042" s="420"/>
      <c r="E1042" s="420"/>
      <c r="F1042" s="420"/>
      <c r="G1042" s="420"/>
      <c r="H1042" s="420"/>
      <c r="I1042" s="420"/>
    </row>
    <row r="1043" spans="2:9" ht="12.75">
      <c r="B1043" s="420"/>
      <c r="C1043" s="420"/>
      <c r="D1043" s="420"/>
      <c r="E1043" s="420"/>
      <c r="F1043" s="420"/>
      <c r="G1043" s="420"/>
      <c r="H1043" s="420"/>
      <c r="I1043" s="420"/>
    </row>
    <row r="1044" spans="2:9" ht="12.75">
      <c r="B1044" s="420"/>
      <c r="C1044" s="420"/>
      <c r="D1044" s="420"/>
      <c r="E1044" s="420"/>
      <c r="F1044" s="420"/>
      <c r="G1044" s="420"/>
      <c r="H1044" s="420"/>
      <c r="I1044" s="420"/>
    </row>
    <row r="1045" spans="2:9" ht="12.75">
      <c r="B1045" s="420"/>
      <c r="C1045" s="420"/>
      <c r="D1045" s="420"/>
      <c r="E1045" s="420"/>
      <c r="F1045" s="420"/>
      <c r="G1045" s="420"/>
      <c r="H1045" s="420"/>
      <c r="I1045" s="420"/>
    </row>
    <row r="1046" spans="2:9" ht="12.75">
      <c r="B1046" s="420"/>
      <c r="C1046" s="420"/>
      <c r="D1046" s="420"/>
      <c r="E1046" s="420"/>
      <c r="F1046" s="420"/>
      <c r="G1046" s="420"/>
      <c r="H1046" s="420"/>
      <c r="I1046" s="420"/>
    </row>
    <row r="1047" spans="2:9" ht="12.75">
      <c r="B1047" s="420"/>
      <c r="C1047" s="420"/>
      <c r="D1047" s="420"/>
      <c r="E1047" s="420"/>
      <c r="F1047" s="420"/>
      <c r="G1047" s="420"/>
      <c r="H1047" s="420"/>
      <c r="I1047" s="420"/>
    </row>
    <row r="1048" spans="2:9" ht="12.75">
      <c r="B1048" s="420"/>
      <c r="C1048" s="420"/>
      <c r="D1048" s="420"/>
      <c r="E1048" s="420"/>
      <c r="F1048" s="420"/>
      <c r="G1048" s="420"/>
      <c r="H1048" s="420"/>
      <c r="I1048" s="420"/>
    </row>
    <row r="1049" spans="2:9" ht="12.75">
      <c r="B1049" s="420"/>
      <c r="C1049" s="420"/>
      <c r="D1049" s="420"/>
      <c r="E1049" s="420"/>
      <c r="F1049" s="420"/>
      <c r="G1049" s="420"/>
      <c r="H1049" s="420"/>
      <c r="I1049" s="420"/>
    </row>
    <row r="1050" spans="2:9" ht="12.75">
      <c r="B1050" s="420"/>
      <c r="C1050" s="420"/>
      <c r="D1050" s="420"/>
      <c r="E1050" s="420"/>
      <c r="F1050" s="420"/>
      <c r="G1050" s="420"/>
      <c r="H1050" s="420"/>
      <c r="I1050" s="420"/>
    </row>
    <row r="1051" spans="2:9" ht="12.75">
      <c r="B1051" s="420"/>
      <c r="C1051" s="420"/>
      <c r="D1051" s="420"/>
      <c r="E1051" s="420"/>
      <c r="F1051" s="420"/>
      <c r="G1051" s="420"/>
      <c r="H1051" s="420"/>
      <c r="I1051" s="420"/>
    </row>
    <row r="1052" spans="2:9" ht="12.75">
      <c r="B1052" s="420"/>
      <c r="C1052" s="420"/>
      <c r="D1052" s="420"/>
      <c r="E1052" s="420"/>
      <c r="F1052" s="420"/>
      <c r="G1052" s="420"/>
      <c r="H1052" s="420"/>
      <c r="I1052" s="420"/>
    </row>
    <row r="1053" spans="2:9" ht="12.75">
      <c r="B1053" s="420"/>
      <c r="C1053" s="420"/>
      <c r="D1053" s="420"/>
      <c r="E1053" s="420"/>
      <c r="F1053" s="420"/>
      <c r="G1053" s="420"/>
      <c r="H1053" s="420"/>
      <c r="I1053" s="420"/>
    </row>
    <row r="1054" spans="2:9" ht="12.75">
      <c r="B1054" s="420"/>
      <c r="C1054" s="420"/>
      <c r="D1054" s="420"/>
      <c r="E1054" s="420"/>
      <c r="F1054" s="420"/>
      <c r="G1054" s="420"/>
      <c r="H1054" s="420"/>
      <c r="I1054" s="420"/>
    </row>
    <row r="1055" spans="2:9" ht="12.75">
      <c r="B1055" s="420"/>
      <c r="C1055" s="420"/>
      <c r="D1055" s="420"/>
      <c r="E1055" s="420"/>
      <c r="F1055" s="420"/>
      <c r="G1055" s="420"/>
      <c r="H1055" s="420"/>
      <c r="I1055" s="420"/>
    </row>
    <row r="1056" spans="2:9" ht="12.75">
      <c r="B1056" s="420"/>
      <c r="C1056" s="420"/>
      <c r="D1056" s="420"/>
      <c r="E1056" s="420"/>
      <c r="F1056" s="420"/>
      <c r="G1056" s="420"/>
      <c r="H1056" s="420"/>
      <c r="I1056" s="420"/>
    </row>
    <row r="1057" spans="2:9" ht="12.75">
      <c r="B1057" s="420"/>
      <c r="C1057" s="420"/>
      <c r="D1057" s="420"/>
      <c r="E1057" s="420"/>
      <c r="F1057" s="420"/>
      <c r="G1057" s="420"/>
      <c r="H1057" s="420"/>
      <c r="I1057" s="420"/>
    </row>
    <row r="1058" spans="2:9" ht="12.75">
      <c r="B1058" s="420"/>
      <c r="C1058" s="420"/>
      <c r="D1058" s="420"/>
      <c r="E1058" s="420"/>
      <c r="F1058" s="420"/>
      <c r="G1058" s="420"/>
      <c r="H1058" s="420"/>
      <c r="I1058" s="420"/>
    </row>
    <row r="1059" spans="2:9" ht="12.75">
      <c r="B1059" s="420"/>
      <c r="C1059" s="420"/>
      <c r="D1059" s="420"/>
      <c r="E1059" s="420"/>
      <c r="F1059" s="420"/>
      <c r="G1059" s="420"/>
      <c r="H1059" s="420"/>
      <c r="I1059" s="420"/>
    </row>
    <row r="1060" spans="2:9" ht="12.75">
      <c r="B1060" s="420"/>
      <c r="C1060" s="420"/>
      <c r="D1060" s="420"/>
      <c r="E1060" s="420"/>
      <c r="F1060" s="420"/>
      <c r="G1060" s="420"/>
      <c r="H1060" s="420"/>
      <c r="I1060" s="420"/>
    </row>
    <row r="1061" spans="2:9" ht="12.75">
      <c r="B1061" s="420"/>
      <c r="C1061" s="420"/>
      <c r="D1061" s="420"/>
      <c r="E1061" s="420"/>
      <c r="F1061" s="420"/>
      <c r="G1061" s="420"/>
      <c r="H1061" s="420"/>
      <c r="I1061" s="420"/>
    </row>
    <row r="1062" spans="2:9" ht="12.75">
      <c r="B1062" s="420"/>
      <c r="C1062" s="420"/>
      <c r="D1062" s="420"/>
      <c r="E1062" s="420"/>
      <c r="F1062" s="420"/>
      <c r="G1062" s="420"/>
      <c r="H1062" s="420"/>
      <c r="I1062" s="420"/>
    </row>
    <row r="1063" spans="2:9" ht="12.75">
      <c r="B1063" s="420"/>
      <c r="C1063" s="420"/>
      <c r="D1063" s="420"/>
      <c r="E1063" s="420"/>
      <c r="F1063" s="420"/>
      <c r="G1063" s="420"/>
      <c r="H1063" s="420"/>
      <c r="I1063" s="420"/>
    </row>
    <row r="1064" spans="2:9" ht="12.75">
      <c r="B1064" s="420"/>
      <c r="C1064" s="420"/>
      <c r="D1064" s="420"/>
      <c r="E1064" s="420"/>
      <c r="F1064" s="420"/>
      <c r="G1064" s="420"/>
      <c r="H1064" s="420"/>
      <c r="I1064" s="420"/>
    </row>
    <row r="1065" spans="2:9" ht="12.75">
      <c r="B1065" s="420"/>
      <c r="C1065" s="420"/>
      <c r="D1065" s="420"/>
      <c r="E1065" s="420"/>
      <c r="F1065" s="420"/>
      <c r="G1065" s="420"/>
      <c r="H1065" s="420"/>
      <c r="I1065" s="420"/>
    </row>
    <row r="1066" spans="2:9" ht="12.75">
      <c r="B1066" s="420"/>
      <c r="C1066" s="420"/>
      <c r="D1066" s="420"/>
      <c r="E1066" s="420"/>
      <c r="F1066" s="420"/>
      <c r="G1066" s="420"/>
      <c r="H1066" s="420"/>
      <c r="I1066" s="420"/>
    </row>
    <row r="1067" spans="2:9" ht="12.75">
      <c r="B1067" s="420"/>
      <c r="C1067" s="420"/>
      <c r="D1067" s="420"/>
      <c r="E1067" s="420"/>
      <c r="F1067" s="420"/>
      <c r="G1067" s="420"/>
      <c r="H1067" s="420"/>
      <c r="I1067" s="420"/>
    </row>
    <row r="1068" spans="2:9" ht="12.75">
      <c r="B1068" s="420"/>
      <c r="C1068" s="420"/>
      <c r="D1068" s="420"/>
      <c r="E1068" s="420"/>
      <c r="F1068" s="420"/>
      <c r="G1068" s="420"/>
      <c r="H1068" s="420"/>
      <c r="I1068" s="420"/>
    </row>
    <row r="1069" spans="2:9" ht="12.75">
      <c r="B1069" s="420"/>
      <c r="C1069" s="420"/>
      <c r="D1069" s="420"/>
      <c r="E1069" s="420"/>
      <c r="F1069" s="420"/>
      <c r="G1069" s="420"/>
      <c r="H1069" s="420"/>
      <c r="I1069" s="420"/>
    </row>
    <row r="1070" spans="2:9" ht="12.75">
      <c r="B1070" s="420"/>
      <c r="C1070" s="420"/>
      <c r="D1070" s="420"/>
      <c r="E1070" s="420"/>
      <c r="F1070" s="420"/>
      <c r="G1070" s="420"/>
      <c r="H1070" s="420"/>
      <c r="I1070" s="420"/>
    </row>
    <row r="1071" spans="2:9" ht="12.75">
      <c r="B1071" s="420"/>
      <c r="C1071" s="420"/>
      <c r="D1071" s="420"/>
      <c r="E1071" s="420"/>
      <c r="F1071" s="420"/>
      <c r="G1071" s="420"/>
      <c r="H1071" s="420"/>
      <c r="I1071" s="420"/>
    </row>
    <row r="1072" spans="2:9" ht="12.75">
      <c r="B1072" s="420"/>
      <c r="C1072" s="420"/>
      <c r="D1072" s="420"/>
      <c r="E1072" s="420"/>
      <c r="F1072" s="420"/>
      <c r="G1072" s="420"/>
      <c r="H1072" s="420"/>
      <c r="I1072" s="420"/>
    </row>
    <row r="1073" spans="2:9" ht="12.75">
      <c r="B1073" s="420"/>
      <c r="C1073" s="420"/>
      <c r="D1073" s="420"/>
      <c r="E1073" s="420"/>
      <c r="F1073" s="420"/>
      <c r="G1073" s="420"/>
      <c r="H1073" s="420"/>
      <c r="I1073" s="420"/>
    </row>
    <row r="1074" spans="2:9" ht="12.75">
      <c r="B1074" s="420"/>
      <c r="C1074" s="420"/>
      <c r="D1074" s="420"/>
      <c r="E1074" s="420"/>
      <c r="F1074" s="420"/>
      <c r="G1074" s="420"/>
      <c r="H1074" s="420"/>
      <c r="I1074" s="420"/>
    </row>
    <row r="1075" spans="2:9" ht="12.75">
      <c r="B1075" s="420"/>
      <c r="C1075" s="420"/>
      <c r="D1075" s="420"/>
      <c r="E1075" s="420"/>
      <c r="F1075" s="420"/>
      <c r="G1075" s="420"/>
      <c r="H1075" s="420"/>
      <c r="I1075" s="420"/>
    </row>
    <row r="1076" spans="2:9" ht="12.75">
      <c r="B1076" s="420"/>
      <c r="C1076" s="420"/>
      <c r="D1076" s="420"/>
      <c r="E1076" s="420"/>
      <c r="F1076" s="420"/>
      <c r="G1076" s="420"/>
      <c r="H1076" s="420"/>
      <c r="I1076" s="420"/>
    </row>
    <row r="1077" spans="2:9" ht="12.75">
      <c r="B1077" s="420"/>
      <c r="C1077" s="420"/>
      <c r="D1077" s="420"/>
      <c r="E1077" s="420"/>
      <c r="F1077" s="420"/>
      <c r="G1077" s="420"/>
      <c r="H1077" s="420"/>
      <c r="I1077" s="420"/>
    </row>
    <row r="1078" spans="2:9" ht="12.75">
      <c r="B1078" s="420"/>
      <c r="C1078" s="420"/>
      <c r="D1078" s="420"/>
      <c r="E1078" s="420"/>
      <c r="F1078" s="420"/>
      <c r="G1078" s="420"/>
      <c r="H1078" s="420"/>
      <c r="I1078" s="420"/>
    </row>
    <row r="1079" spans="2:9" ht="12.75">
      <c r="B1079" s="420"/>
      <c r="C1079" s="420"/>
      <c r="D1079" s="420"/>
      <c r="E1079" s="420"/>
      <c r="F1079" s="420"/>
      <c r="G1079" s="420"/>
      <c r="H1079" s="420"/>
      <c r="I1079" s="420"/>
    </row>
    <row r="1080" spans="2:9" ht="12.75">
      <c r="B1080" s="420"/>
      <c r="C1080" s="420"/>
      <c r="D1080" s="420"/>
      <c r="E1080" s="420"/>
      <c r="F1080" s="420"/>
      <c r="G1080" s="420"/>
      <c r="H1080" s="420"/>
      <c r="I1080" s="420"/>
    </row>
    <row r="1081" spans="2:9" ht="12.75">
      <c r="B1081" s="420"/>
      <c r="C1081" s="420"/>
      <c r="D1081" s="420"/>
      <c r="E1081" s="420"/>
      <c r="F1081" s="420"/>
      <c r="G1081" s="420"/>
      <c r="H1081" s="420"/>
      <c r="I1081" s="420"/>
    </row>
    <row r="1082" spans="2:9" ht="12.75">
      <c r="B1082" s="420"/>
      <c r="C1082" s="420"/>
      <c r="D1082" s="420"/>
      <c r="E1082" s="420"/>
      <c r="F1082" s="420"/>
      <c r="G1082" s="420"/>
      <c r="H1082" s="420"/>
      <c r="I1082" s="420"/>
    </row>
    <row r="1083" spans="2:9" ht="12.75">
      <c r="B1083" s="420"/>
      <c r="C1083" s="420"/>
      <c r="D1083" s="420"/>
      <c r="E1083" s="420"/>
      <c r="F1083" s="420"/>
      <c r="G1083" s="420"/>
      <c r="H1083" s="420"/>
      <c r="I1083" s="420"/>
    </row>
    <row r="1084" spans="2:9" ht="12.75">
      <c r="B1084" s="420"/>
      <c r="C1084" s="420"/>
      <c r="D1084" s="420"/>
      <c r="E1084" s="420"/>
      <c r="F1084" s="420"/>
      <c r="G1084" s="420"/>
      <c r="H1084" s="420"/>
      <c r="I1084" s="420"/>
    </row>
    <row r="1085" spans="2:9" ht="12.75">
      <c r="B1085" s="420"/>
      <c r="C1085" s="420"/>
      <c r="D1085" s="420"/>
      <c r="E1085" s="420"/>
      <c r="F1085" s="420"/>
      <c r="G1085" s="420"/>
      <c r="H1085" s="420"/>
      <c r="I1085" s="420"/>
    </row>
    <row r="1086" spans="2:9" ht="12.75">
      <c r="B1086" s="420"/>
      <c r="C1086" s="420"/>
      <c r="D1086" s="420"/>
      <c r="E1086" s="420"/>
      <c r="F1086" s="420"/>
      <c r="G1086" s="420"/>
      <c r="H1086" s="420"/>
      <c r="I1086" s="420"/>
    </row>
    <row r="1087" spans="2:9" ht="12.75">
      <c r="B1087" s="420"/>
      <c r="C1087" s="420"/>
      <c r="D1087" s="420"/>
      <c r="E1087" s="420"/>
      <c r="F1087" s="420"/>
      <c r="G1087" s="420"/>
      <c r="H1087" s="420"/>
      <c r="I1087" s="420"/>
    </row>
    <row r="1088" spans="2:9" ht="12.75">
      <c r="B1088" s="420"/>
      <c r="C1088" s="420"/>
      <c r="D1088" s="420"/>
      <c r="E1088" s="420"/>
      <c r="F1088" s="420"/>
      <c r="G1088" s="420"/>
      <c r="H1088" s="420"/>
      <c r="I1088" s="420"/>
    </row>
    <row r="1089" spans="2:9" ht="12.75">
      <c r="B1089" s="420"/>
      <c r="C1089" s="420"/>
      <c r="D1089" s="420"/>
      <c r="E1089" s="420"/>
      <c r="F1089" s="420"/>
      <c r="G1089" s="420"/>
      <c r="H1089" s="420"/>
      <c r="I1089" s="420"/>
    </row>
    <row r="1090" spans="2:9" ht="12.75">
      <c r="B1090" s="420"/>
      <c r="C1090" s="420"/>
      <c r="D1090" s="420"/>
      <c r="E1090" s="420"/>
      <c r="F1090" s="420"/>
      <c r="G1090" s="420"/>
      <c r="H1090" s="420"/>
      <c r="I1090" s="420"/>
    </row>
    <row r="1091" spans="2:9" ht="12.75">
      <c r="B1091" s="420"/>
      <c r="C1091" s="420"/>
      <c r="D1091" s="420"/>
      <c r="E1091" s="420"/>
      <c r="F1091" s="420"/>
      <c r="G1091" s="420"/>
      <c r="H1091" s="420"/>
      <c r="I1091" s="420"/>
    </row>
    <row r="1092" spans="2:9" ht="12.75">
      <c r="B1092" s="420"/>
      <c r="C1092" s="420"/>
      <c r="D1092" s="420"/>
      <c r="E1092" s="420"/>
      <c r="F1092" s="420"/>
      <c r="G1092" s="420"/>
      <c r="H1092" s="420"/>
      <c r="I1092" s="420"/>
    </row>
    <row r="1093" spans="2:9" ht="12.75">
      <c r="B1093" s="420"/>
      <c r="C1093" s="420"/>
      <c r="D1093" s="420"/>
      <c r="E1093" s="420"/>
      <c r="F1093" s="420"/>
      <c r="G1093" s="420"/>
      <c r="H1093" s="420"/>
      <c r="I1093" s="420"/>
    </row>
    <row r="1094" spans="2:9" ht="12.75">
      <c r="B1094" s="420"/>
      <c r="C1094" s="420"/>
      <c r="D1094" s="420"/>
      <c r="E1094" s="420"/>
      <c r="F1094" s="420"/>
      <c r="G1094" s="420"/>
      <c r="H1094" s="420"/>
      <c r="I1094" s="420"/>
    </row>
    <row r="1095" spans="2:9" ht="12.75">
      <c r="B1095" s="420"/>
      <c r="C1095" s="420"/>
      <c r="D1095" s="420"/>
      <c r="E1095" s="420"/>
      <c r="F1095" s="420"/>
      <c r="G1095" s="420"/>
      <c r="H1095" s="420"/>
      <c r="I1095" s="420"/>
    </row>
    <row r="1096" spans="2:9" ht="12.75">
      <c r="B1096" s="420"/>
      <c r="C1096" s="420"/>
      <c r="D1096" s="420"/>
      <c r="E1096" s="420"/>
      <c r="F1096" s="420"/>
      <c r="G1096" s="420"/>
      <c r="H1096" s="420"/>
      <c r="I1096" s="420"/>
    </row>
    <row r="1097" spans="2:9" ht="12.75">
      <c r="B1097" s="420"/>
      <c r="C1097" s="420"/>
      <c r="D1097" s="420"/>
      <c r="E1097" s="420"/>
      <c r="F1097" s="420"/>
      <c r="G1097" s="420"/>
      <c r="H1097" s="420"/>
      <c r="I1097" s="420"/>
    </row>
    <row r="1098" spans="2:9" ht="12.75">
      <c r="B1098" s="420"/>
      <c r="C1098" s="420"/>
      <c r="D1098" s="420"/>
      <c r="E1098" s="420"/>
      <c r="F1098" s="420"/>
      <c r="G1098" s="420"/>
      <c r="H1098" s="420"/>
      <c r="I1098" s="420"/>
    </row>
    <row r="1099" spans="2:9" ht="12.75">
      <c r="B1099" s="420"/>
      <c r="C1099" s="420"/>
      <c r="D1099" s="420"/>
      <c r="E1099" s="420"/>
      <c r="F1099" s="420"/>
      <c r="G1099" s="420"/>
      <c r="H1099" s="420"/>
      <c r="I1099" s="420"/>
    </row>
    <row r="1100" spans="2:9" ht="12.75">
      <c r="B1100" s="420"/>
      <c r="C1100" s="420"/>
      <c r="D1100" s="420"/>
      <c r="E1100" s="420"/>
      <c r="F1100" s="420"/>
      <c r="G1100" s="420"/>
      <c r="H1100" s="420"/>
      <c r="I1100" s="420"/>
    </row>
    <row r="1101" spans="2:9" ht="12.75">
      <c r="B1101" s="420"/>
      <c r="C1101" s="420"/>
      <c r="D1101" s="420"/>
      <c r="E1101" s="420"/>
      <c r="F1101" s="420"/>
      <c r="G1101" s="420"/>
      <c r="H1101" s="420"/>
      <c r="I1101" s="420"/>
    </row>
    <row r="1102" spans="2:9" ht="12.75">
      <c r="B1102" s="420"/>
      <c r="C1102" s="420"/>
      <c r="D1102" s="420"/>
      <c r="E1102" s="420"/>
      <c r="F1102" s="420"/>
      <c r="G1102" s="420"/>
      <c r="H1102" s="420"/>
      <c r="I1102" s="420"/>
    </row>
    <row r="1103" spans="2:9" ht="12.75">
      <c r="B1103" s="420"/>
      <c r="C1103" s="420"/>
      <c r="D1103" s="420"/>
      <c r="E1103" s="420"/>
      <c r="F1103" s="420"/>
      <c r="G1103" s="420"/>
      <c r="H1103" s="420"/>
      <c r="I1103" s="420"/>
    </row>
    <row r="1104" spans="2:9" ht="12.75">
      <c r="B1104" s="420"/>
      <c r="C1104" s="420"/>
      <c r="D1104" s="420"/>
      <c r="E1104" s="420"/>
      <c r="F1104" s="420"/>
      <c r="G1104" s="420"/>
      <c r="H1104" s="420"/>
      <c r="I1104" s="420"/>
    </row>
    <row r="1105" spans="2:9" ht="12.75">
      <c r="B1105" s="420"/>
      <c r="C1105" s="420"/>
      <c r="D1105" s="420"/>
      <c r="E1105" s="420"/>
      <c r="F1105" s="420"/>
      <c r="G1105" s="420"/>
      <c r="H1105" s="420"/>
      <c r="I1105" s="420"/>
    </row>
    <row r="1106" spans="2:9" ht="12.75">
      <c r="B1106" s="420"/>
      <c r="C1106" s="420"/>
      <c r="D1106" s="420"/>
      <c r="E1106" s="420"/>
      <c r="F1106" s="420"/>
      <c r="G1106" s="420"/>
      <c r="H1106" s="420"/>
      <c r="I1106" s="420"/>
    </row>
    <row r="1107" spans="2:9" ht="12.75">
      <c r="B1107" s="420"/>
      <c r="C1107" s="420"/>
      <c r="D1107" s="420"/>
      <c r="E1107" s="420"/>
      <c r="F1107" s="420"/>
      <c r="G1107" s="420"/>
      <c r="H1107" s="420"/>
      <c r="I1107" s="420"/>
    </row>
    <row r="1108" spans="2:9" ht="12.75">
      <c r="B1108" s="420"/>
      <c r="C1108" s="420"/>
      <c r="D1108" s="420"/>
      <c r="E1108" s="420"/>
      <c r="F1108" s="420"/>
      <c r="G1108" s="420"/>
      <c r="H1108" s="420"/>
      <c r="I1108" s="420"/>
    </row>
    <row r="1109" spans="2:9" ht="12.75">
      <c r="B1109" s="420"/>
      <c r="C1109" s="420"/>
      <c r="D1109" s="420"/>
      <c r="E1109" s="420"/>
      <c r="F1109" s="420"/>
      <c r="G1109" s="420"/>
      <c r="H1109" s="420"/>
      <c r="I1109" s="420"/>
    </row>
    <row r="1110" spans="2:9" ht="12.75">
      <c r="B1110" s="420"/>
      <c r="C1110" s="420"/>
      <c r="D1110" s="420"/>
      <c r="E1110" s="420"/>
      <c r="F1110" s="420"/>
      <c r="G1110" s="420"/>
      <c r="H1110" s="420"/>
      <c r="I1110" s="420"/>
    </row>
    <row r="1111" spans="2:9" ht="12.75">
      <c r="B1111" s="420"/>
      <c r="C1111" s="420"/>
      <c r="D1111" s="420"/>
      <c r="E1111" s="420"/>
      <c r="F1111" s="420"/>
      <c r="G1111" s="420"/>
      <c r="H1111" s="420"/>
      <c r="I1111" s="420"/>
    </row>
    <row r="1112" spans="2:9" ht="12.75">
      <c r="B1112" s="420"/>
      <c r="C1112" s="420"/>
      <c r="D1112" s="420"/>
      <c r="E1112" s="420"/>
      <c r="F1112" s="420"/>
      <c r="G1112" s="420"/>
      <c r="H1112" s="420"/>
      <c r="I1112" s="420"/>
    </row>
    <row r="1113" spans="2:9" ht="12.75">
      <c r="B1113" s="420"/>
      <c r="C1113" s="420"/>
      <c r="D1113" s="420"/>
      <c r="E1113" s="420"/>
      <c r="F1113" s="420"/>
      <c r="G1113" s="420"/>
      <c r="H1113" s="420"/>
      <c r="I1113" s="420"/>
    </row>
    <row r="1114" spans="2:9" ht="12.75">
      <c r="B1114" s="420"/>
      <c r="C1114" s="420"/>
      <c r="D1114" s="420"/>
      <c r="E1114" s="420"/>
      <c r="F1114" s="420"/>
      <c r="G1114" s="420"/>
      <c r="H1114" s="420"/>
      <c r="I1114" s="420"/>
    </row>
    <row r="1115" spans="2:9" ht="12.75">
      <c r="B1115" s="420"/>
      <c r="C1115" s="420"/>
      <c r="D1115" s="420"/>
      <c r="E1115" s="420"/>
      <c r="F1115" s="420"/>
      <c r="G1115" s="420"/>
      <c r="H1115" s="420"/>
      <c r="I1115" s="420"/>
    </row>
    <row r="1116" spans="2:9" ht="12.75">
      <c r="B1116" s="420"/>
      <c r="C1116" s="420"/>
      <c r="D1116" s="420"/>
      <c r="E1116" s="420"/>
      <c r="F1116" s="420"/>
      <c r="G1116" s="420"/>
      <c r="H1116" s="420"/>
      <c r="I1116" s="420"/>
    </row>
    <row r="1117" spans="2:9" ht="12.75">
      <c r="B1117" s="420"/>
      <c r="C1117" s="420"/>
      <c r="D1117" s="420"/>
      <c r="E1117" s="420"/>
      <c r="F1117" s="420"/>
      <c r="G1117" s="420"/>
      <c r="H1117" s="420"/>
      <c r="I1117" s="420"/>
    </row>
    <row r="1118" spans="2:9" ht="12.75">
      <c r="B1118" s="420"/>
      <c r="C1118" s="420"/>
      <c r="D1118" s="420"/>
      <c r="E1118" s="420"/>
      <c r="F1118" s="420"/>
      <c r="G1118" s="420"/>
      <c r="H1118" s="420"/>
      <c r="I1118" s="420"/>
    </row>
    <row r="1119" spans="2:9" ht="12.75">
      <c r="B1119" s="420"/>
      <c r="C1119" s="420"/>
      <c r="D1119" s="420"/>
      <c r="E1119" s="420"/>
      <c r="F1119" s="420"/>
      <c r="G1119" s="420"/>
      <c r="H1119" s="420"/>
      <c r="I1119" s="420"/>
    </row>
    <row r="1120" spans="2:9" ht="12.75">
      <c r="B1120" s="420"/>
      <c r="C1120" s="420"/>
      <c r="D1120" s="420"/>
      <c r="E1120" s="420"/>
      <c r="F1120" s="420"/>
      <c r="G1120" s="420"/>
      <c r="H1120" s="420"/>
      <c r="I1120" s="420"/>
    </row>
    <row r="1121" spans="2:9" ht="12.75">
      <c r="B1121" s="420"/>
      <c r="C1121" s="420"/>
      <c r="D1121" s="420"/>
      <c r="E1121" s="420"/>
      <c r="F1121" s="420"/>
      <c r="G1121" s="420"/>
      <c r="H1121" s="420"/>
      <c r="I1121" s="420"/>
    </row>
    <row r="1122" spans="2:9" ht="12.75">
      <c r="B1122" s="420"/>
      <c r="C1122" s="420"/>
      <c r="D1122" s="420"/>
      <c r="E1122" s="420"/>
      <c r="F1122" s="420"/>
      <c r="G1122" s="420"/>
      <c r="H1122" s="420"/>
      <c r="I1122" s="420"/>
    </row>
    <row r="1123" spans="2:9" ht="12.75">
      <c r="B1123" s="420"/>
      <c r="C1123" s="420"/>
      <c r="D1123" s="420"/>
      <c r="E1123" s="420"/>
      <c r="F1123" s="420"/>
      <c r="G1123" s="420"/>
      <c r="H1123" s="420"/>
      <c r="I1123" s="420"/>
    </row>
    <row r="1124" spans="2:9" ht="12.75">
      <c r="B1124" s="420"/>
      <c r="C1124" s="420"/>
      <c r="D1124" s="420"/>
      <c r="E1124" s="420"/>
      <c r="F1124" s="420"/>
      <c r="G1124" s="420"/>
      <c r="H1124" s="420"/>
      <c r="I1124" s="420"/>
    </row>
    <row r="1125" spans="2:9" ht="12.75">
      <c r="B1125" s="420"/>
      <c r="C1125" s="420"/>
      <c r="D1125" s="420"/>
      <c r="E1125" s="420"/>
      <c r="F1125" s="420"/>
      <c r="G1125" s="420"/>
      <c r="H1125" s="420"/>
      <c r="I1125" s="420"/>
    </row>
    <row r="1126" spans="2:9" ht="12.75">
      <c r="B1126" s="420"/>
      <c r="C1126" s="420"/>
      <c r="D1126" s="420"/>
      <c r="E1126" s="420"/>
      <c r="F1126" s="420"/>
      <c r="G1126" s="420"/>
      <c r="H1126" s="420"/>
      <c r="I1126" s="420"/>
    </row>
    <row r="1127" spans="2:9" ht="12.75">
      <c r="B1127" s="420"/>
      <c r="C1127" s="420"/>
      <c r="D1127" s="420"/>
      <c r="E1127" s="420"/>
      <c r="F1127" s="420"/>
      <c r="G1127" s="420"/>
      <c r="H1127" s="420"/>
      <c r="I1127" s="420"/>
    </row>
    <row r="1128" spans="2:9" ht="12.75">
      <c r="B1128" s="420"/>
      <c r="C1128" s="420"/>
      <c r="D1128" s="420"/>
      <c r="E1128" s="420"/>
      <c r="F1128" s="420"/>
      <c r="G1128" s="420"/>
      <c r="H1128" s="420"/>
      <c r="I1128" s="420"/>
    </row>
    <row r="1129" spans="2:9" ht="12.75">
      <c r="B1129" s="420"/>
      <c r="C1129" s="420"/>
      <c r="D1129" s="420"/>
      <c r="E1129" s="420"/>
      <c r="F1129" s="420"/>
      <c r="G1129" s="420"/>
      <c r="H1129" s="420"/>
      <c r="I1129" s="420"/>
    </row>
    <row r="1130" spans="2:9" ht="12.75">
      <c r="B1130" s="420"/>
      <c r="C1130" s="420"/>
      <c r="D1130" s="420"/>
      <c r="E1130" s="420"/>
      <c r="F1130" s="420"/>
      <c r="G1130" s="420"/>
      <c r="H1130" s="420"/>
      <c r="I1130" s="420"/>
    </row>
    <row r="1131" spans="2:9" ht="12.75">
      <c r="B1131" s="420"/>
      <c r="C1131" s="420"/>
      <c r="D1131" s="420"/>
      <c r="E1131" s="420"/>
      <c r="F1131" s="420"/>
      <c r="G1131" s="420"/>
      <c r="H1131" s="420"/>
      <c r="I1131" s="420"/>
    </row>
    <row r="1132" spans="2:9" ht="12.75">
      <c r="B1132" s="420"/>
      <c r="C1132" s="420"/>
      <c r="D1132" s="420"/>
      <c r="E1132" s="420"/>
      <c r="F1132" s="420"/>
      <c r="G1132" s="420"/>
      <c r="H1132" s="420"/>
      <c r="I1132" s="420"/>
    </row>
    <row r="1133" spans="2:9" ht="12.75">
      <c r="B1133" s="420"/>
      <c r="C1133" s="420"/>
      <c r="D1133" s="420"/>
      <c r="E1133" s="420"/>
      <c r="F1133" s="420"/>
      <c r="G1133" s="420"/>
      <c r="H1133" s="420"/>
      <c r="I1133" s="420"/>
    </row>
    <row r="1134" spans="2:9" ht="12.75">
      <c r="B1134" s="420"/>
      <c r="C1134" s="420"/>
      <c r="D1134" s="420"/>
      <c r="E1134" s="420"/>
      <c r="F1134" s="420"/>
      <c r="G1134" s="420"/>
      <c r="H1134" s="420"/>
      <c r="I1134" s="420"/>
    </row>
    <row r="1135" spans="2:9" ht="12.75">
      <c r="B1135" s="420"/>
      <c r="C1135" s="420"/>
      <c r="D1135" s="420"/>
      <c r="E1135" s="420"/>
      <c r="F1135" s="420"/>
      <c r="G1135" s="420"/>
      <c r="H1135" s="420"/>
      <c r="I1135" s="420"/>
    </row>
    <row r="1136" spans="2:9" ht="12.75">
      <c r="B1136" s="420"/>
      <c r="C1136" s="420"/>
      <c r="D1136" s="420"/>
      <c r="E1136" s="420"/>
      <c r="F1136" s="420"/>
      <c r="G1136" s="420"/>
      <c r="H1136" s="420"/>
      <c r="I1136" s="420"/>
    </row>
    <row r="1137" spans="2:9" ht="12.75">
      <c r="B1137" s="420"/>
      <c r="C1137" s="420"/>
      <c r="D1137" s="420"/>
      <c r="E1137" s="420"/>
      <c r="F1137" s="420"/>
      <c r="G1137" s="420"/>
      <c r="H1137" s="420"/>
      <c r="I1137" s="420"/>
    </row>
    <row r="1138" spans="2:9" ht="12.75">
      <c r="B1138" s="420"/>
      <c r="C1138" s="420"/>
      <c r="D1138" s="420"/>
      <c r="E1138" s="420"/>
      <c r="F1138" s="420"/>
      <c r="G1138" s="420"/>
      <c r="H1138" s="420"/>
      <c r="I1138" s="420"/>
    </row>
    <row r="1139" spans="2:9" ht="12.75">
      <c r="B1139" s="420"/>
      <c r="C1139" s="420"/>
      <c r="D1139" s="420"/>
      <c r="E1139" s="420"/>
      <c r="F1139" s="420"/>
      <c r="G1139" s="420"/>
      <c r="H1139" s="420"/>
      <c r="I1139" s="420"/>
    </row>
    <row r="1140" spans="2:9" ht="12.75">
      <c r="B1140" s="420"/>
      <c r="C1140" s="420"/>
      <c r="D1140" s="420"/>
      <c r="E1140" s="420"/>
      <c r="F1140" s="420"/>
      <c r="G1140" s="420"/>
      <c r="H1140" s="420"/>
      <c r="I1140" s="420"/>
    </row>
    <row r="1141" spans="2:9" ht="12.75">
      <c r="B1141" s="420"/>
      <c r="C1141" s="420"/>
      <c r="D1141" s="420"/>
      <c r="E1141" s="420"/>
      <c r="F1141" s="420"/>
      <c r="G1141" s="420"/>
      <c r="H1141" s="420"/>
      <c r="I1141" s="420"/>
    </row>
    <row r="1142" spans="2:9" ht="12.75">
      <c r="B1142" s="420"/>
      <c r="C1142" s="420"/>
      <c r="D1142" s="420"/>
      <c r="E1142" s="420"/>
      <c r="F1142" s="420"/>
      <c r="G1142" s="420"/>
      <c r="H1142" s="420"/>
      <c r="I1142" s="420"/>
    </row>
    <row r="1143" spans="2:9" ht="12.75">
      <c r="B1143" s="420"/>
      <c r="C1143" s="420"/>
      <c r="D1143" s="420"/>
      <c r="E1143" s="420"/>
      <c r="F1143" s="420"/>
      <c r="G1143" s="420"/>
      <c r="H1143" s="420"/>
      <c r="I1143" s="420"/>
    </row>
    <row r="1144" spans="2:9" ht="12.75">
      <c r="B1144" s="420"/>
      <c r="C1144" s="420"/>
      <c r="D1144" s="420"/>
      <c r="E1144" s="420"/>
      <c r="F1144" s="420"/>
      <c r="G1144" s="420"/>
      <c r="H1144" s="420"/>
      <c r="I1144" s="420"/>
    </row>
    <row r="1145" spans="2:9" ht="12.75">
      <c r="B1145" s="420"/>
      <c r="C1145" s="420"/>
      <c r="D1145" s="420"/>
      <c r="E1145" s="420"/>
      <c r="F1145" s="420"/>
      <c r="G1145" s="420"/>
      <c r="H1145" s="420"/>
      <c r="I1145" s="420"/>
    </row>
    <row r="1146" spans="2:9" ht="12.75">
      <c r="B1146" s="420"/>
      <c r="C1146" s="420"/>
      <c r="D1146" s="420"/>
      <c r="E1146" s="420"/>
      <c r="F1146" s="420"/>
      <c r="G1146" s="420"/>
      <c r="H1146" s="420"/>
      <c r="I1146" s="420"/>
    </row>
    <row r="1147" spans="2:9" ht="12.75">
      <c r="B1147" s="420"/>
      <c r="C1147" s="420"/>
      <c r="D1147" s="420"/>
      <c r="E1147" s="420"/>
      <c r="F1147" s="420"/>
      <c r="G1147" s="420"/>
      <c r="H1147" s="420"/>
      <c r="I1147" s="420"/>
    </row>
    <row r="1148" spans="2:9" ht="12.75">
      <c r="B1148" s="420"/>
      <c r="C1148" s="420"/>
      <c r="D1148" s="420"/>
      <c r="E1148" s="420"/>
      <c r="F1148" s="420"/>
      <c r="G1148" s="420"/>
      <c r="H1148" s="420"/>
      <c r="I1148" s="420"/>
    </row>
    <row r="1149" spans="2:9" ht="12.75">
      <c r="B1149" s="420"/>
      <c r="C1149" s="420"/>
      <c r="D1149" s="420"/>
      <c r="E1149" s="420"/>
      <c r="F1149" s="420"/>
      <c r="G1149" s="420"/>
      <c r="H1149" s="420"/>
      <c r="I1149" s="420"/>
    </row>
    <row r="1150" spans="2:9" ht="12.75">
      <c r="B1150" s="420"/>
      <c r="C1150" s="420"/>
      <c r="D1150" s="420"/>
      <c r="E1150" s="420"/>
      <c r="F1150" s="420"/>
      <c r="G1150" s="420"/>
      <c r="H1150" s="420"/>
      <c r="I1150" s="420"/>
    </row>
    <row r="1151" spans="2:9" ht="12.75">
      <c r="B1151" s="420"/>
      <c r="C1151" s="420"/>
      <c r="D1151" s="420"/>
      <c r="E1151" s="420"/>
      <c r="F1151" s="420"/>
      <c r="G1151" s="420"/>
      <c r="H1151" s="420"/>
      <c r="I1151" s="420"/>
    </row>
    <row r="1152" spans="2:9" ht="12.75">
      <c r="B1152" s="420"/>
      <c r="C1152" s="420"/>
      <c r="D1152" s="420"/>
      <c r="E1152" s="420"/>
      <c r="F1152" s="420"/>
      <c r="G1152" s="420"/>
      <c r="H1152" s="420"/>
      <c r="I1152" s="420"/>
    </row>
    <row r="1153" spans="2:9" ht="12.75">
      <c r="B1153" s="420"/>
      <c r="C1153" s="420"/>
      <c r="D1153" s="420"/>
      <c r="E1153" s="420"/>
      <c r="F1153" s="420"/>
      <c r="G1153" s="420"/>
      <c r="H1153" s="420"/>
      <c r="I1153" s="420"/>
    </row>
    <row r="1154" spans="2:9" ht="12.75">
      <c r="B1154" s="420"/>
      <c r="C1154" s="420"/>
      <c r="D1154" s="420"/>
      <c r="E1154" s="420"/>
      <c r="F1154" s="420"/>
      <c r="G1154" s="420"/>
      <c r="H1154" s="420"/>
      <c r="I1154" s="420"/>
    </row>
    <row r="1155" spans="2:9" ht="12.75">
      <c r="B1155" s="420"/>
      <c r="C1155" s="420"/>
      <c r="D1155" s="420"/>
      <c r="E1155" s="420"/>
      <c r="F1155" s="420"/>
      <c r="G1155" s="420"/>
      <c r="H1155" s="420"/>
      <c r="I1155" s="420"/>
    </row>
    <row r="1156" spans="2:9" ht="12.75">
      <c r="B1156" s="420"/>
      <c r="C1156" s="420"/>
      <c r="D1156" s="420"/>
      <c r="E1156" s="420"/>
      <c r="F1156" s="420"/>
      <c r="G1156" s="420"/>
      <c r="H1156" s="420"/>
      <c r="I1156" s="420"/>
    </row>
    <row r="1157" spans="2:9" ht="12.75">
      <c r="B1157" s="420"/>
      <c r="C1157" s="420"/>
      <c r="D1157" s="420"/>
      <c r="E1157" s="420"/>
      <c r="F1157" s="420"/>
      <c r="G1157" s="420"/>
      <c r="H1157" s="420"/>
      <c r="I1157" s="420"/>
    </row>
    <row r="1158" spans="2:9" ht="12.75">
      <c r="B1158" s="420"/>
      <c r="C1158" s="420"/>
      <c r="D1158" s="420"/>
      <c r="E1158" s="420"/>
      <c r="F1158" s="420"/>
      <c r="G1158" s="420"/>
      <c r="H1158" s="420"/>
      <c r="I1158" s="420"/>
    </row>
    <row r="1159" spans="2:9" ht="12.75">
      <c r="B1159" s="420"/>
      <c r="C1159" s="420"/>
      <c r="D1159" s="420"/>
      <c r="E1159" s="420"/>
      <c r="F1159" s="420"/>
      <c r="G1159" s="420"/>
      <c r="H1159" s="420"/>
      <c r="I1159" s="420"/>
    </row>
    <row r="1160" spans="2:9" ht="12.75">
      <c r="B1160" s="420"/>
      <c r="C1160" s="420"/>
      <c r="D1160" s="420"/>
      <c r="E1160" s="420"/>
      <c r="F1160" s="420"/>
      <c r="G1160" s="420"/>
      <c r="H1160" s="420"/>
      <c r="I1160" s="420"/>
    </row>
    <row r="1161" spans="2:9" ht="12.75">
      <c r="B1161" s="420"/>
      <c r="C1161" s="420"/>
      <c r="D1161" s="420"/>
      <c r="E1161" s="420"/>
      <c r="F1161" s="420"/>
      <c r="G1161" s="420"/>
      <c r="H1161" s="420"/>
      <c r="I1161" s="420"/>
    </row>
    <row r="1162" spans="2:9" ht="12.75">
      <c r="B1162" s="420"/>
      <c r="C1162" s="420"/>
      <c r="D1162" s="420"/>
      <c r="E1162" s="420"/>
      <c r="F1162" s="420"/>
      <c r="G1162" s="420"/>
      <c r="H1162" s="420"/>
      <c r="I1162" s="420"/>
    </row>
    <row r="1163" spans="2:9" ht="12.75">
      <c r="B1163" s="420"/>
      <c r="C1163" s="420"/>
      <c r="D1163" s="420"/>
      <c r="E1163" s="420"/>
      <c r="F1163" s="420"/>
      <c r="G1163" s="420"/>
      <c r="H1163" s="420"/>
      <c r="I1163" s="420"/>
    </row>
    <row r="1164" spans="2:9" ht="12.75">
      <c r="B1164" s="420"/>
      <c r="C1164" s="420"/>
      <c r="D1164" s="420"/>
      <c r="E1164" s="420"/>
      <c r="F1164" s="420"/>
      <c r="G1164" s="420"/>
      <c r="H1164" s="420"/>
      <c r="I1164" s="420"/>
    </row>
    <row r="1165" spans="2:9" ht="12.75">
      <c r="B1165" s="420"/>
      <c r="C1165" s="420"/>
      <c r="D1165" s="420"/>
      <c r="E1165" s="420"/>
      <c r="F1165" s="420"/>
      <c r="G1165" s="420"/>
      <c r="H1165" s="420"/>
      <c r="I1165" s="420"/>
    </row>
    <row r="1166" spans="2:9" ht="12.75">
      <c r="B1166" s="420"/>
      <c r="C1166" s="420"/>
      <c r="D1166" s="420"/>
      <c r="E1166" s="420"/>
      <c r="F1166" s="420"/>
      <c r="G1166" s="420"/>
      <c r="H1166" s="420"/>
      <c r="I1166" s="420"/>
    </row>
    <row r="1167" spans="2:9" ht="12.75">
      <c r="B1167" s="420"/>
      <c r="C1167" s="420"/>
      <c r="D1167" s="420"/>
      <c r="E1167" s="420"/>
      <c r="F1167" s="420"/>
      <c r="G1167" s="420"/>
      <c r="H1167" s="420"/>
      <c r="I1167" s="420"/>
    </row>
    <row r="1168" spans="2:9" ht="12.75">
      <c r="B1168" s="420"/>
      <c r="C1168" s="420"/>
      <c r="D1168" s="420"/>
      <c r="E1168" s="420"/>
      <c r="F1168" s="420"/>
      <c r="G1168" s="420"/>
      <c r="H1168" s="420"/>
      <c r="I1168" s="420"/>
    </row>
    <row r="1169" spans="2:9" ht="12.75">
      <c r="B1169" s="420"/>
      <c r="C1169" s="420"/>
      <c r="D1169" s="420"/>
      <c r="E1169" s="420"/>
      <c r="F1169" s="420"/>
      <c r="G1169" s="420"/>
      <c r="H1169" s="420"/>
      <c r="I1169" s="420"/>
    </row>
    <row r="1170" spans="2:9" ht="12.75">
      <c r="B1170" s="420"/>
      <c r="C1170" s="420"/>
      <c r="D1170" s="420"/>
      <c r="E1170" s="420"/>
      <c r="F1170" s="420"/>
      <c r="G1170" s="420"/>
      <c r="H1170" s="420"/>
      <c r="I1170" s="420"/>
    </row>
    <row r="1171" spans="2:9" ht="12.75">
      <c r="B1171" s="420"/>
      <c r="C1171" s="420"/>
      <c r="D1171" s="420"/>
      <c r="E1171" s="420"/>
      <c r="F1171" s="420"/>
      <c r="G1171" s="420"/>
      <c r="H1171" s="420"/>
      <c r="I1171" s="420"/>
    </row>
    <row r="1172" spans="2:9" ht="12.75">
      <c r="B1172" s="420"/>
      <c r="C1172" s="420"/>
      <c r="D1172" s="420"/>
      <c r="E1172" s="420"/>
      <c r="F1172" s="420"/>
      <c r="G1172" s="420"/>
      <c r="H1172" s="420"/>
      <c r="I1172" s="420"/>
    </row>
    <row r="1173" spans="2:9" ht="12.75">
      <c r="B1173" s="420"/>
      <c r="C1173" s="420"/>
      <c r="D1173" s="420"/>
      <c r="E1173" s="420"/>
      <c r="F1173" s="420"/>
      <c r="G1173" s="420"/>
      <c r="H1173" s="420"/>
      <c r="I1173" s="420"/>
    </row>
    <row r="1174" spans="2:9" ht="12.75">
      <c r="B1174" s="420"/>
      <c r="C1174" s="420"/>
      <c r="D1174" s="420"/>
      <c r="E1174" s="420"/>
      <c r="F1174" s="420"/>
      <c r="G1174" s="420"/>
      <c r="H1174" s="420"/>
      <c r="I1174" s="420"/>
    </row>
    <row r="1175" spans="2:9" ht="12.75">
      <c r="B1175" s="420"/>
      <c r="C1175" s="420"/>
      <c r="D1175" s="420"/>
      <c r="E1175" s="420"/>
      <c r="F1175" s="420"/>
      <c r="G1175" s="420"/>
      <c r="H1175" s="420"/>
      <c r="I1175" s="420"/>
    </row>
    <row r="1176" spans="2:9" ht="12.75">
      <c r="B1176" s="420"/>
      <c r="C1176" s="420"/>
      <c r="D1176" s="420"/>
      <c r="E1176" s="420"/>
      <c r="F1176" s="420"/>
      <c r="G1176" s="420"/>
      <c r="H1176" s="420"/>
      <c r="I1176" s="420"/>
    </row>
    <row r="1177" spans="2:9" ht="12.75">
      <c r="B1177" s="420"/>
      <c r="C1177" s="420"/>
      <c r="D1177" s="420"/>
      <c r="E1177" s="420"/>
      <c r="F1177" s="420"/>
      <c r="G1177" s="420"/>
      <c r="H1177" s="420"/>
      <c r="I1177" s="420"/>
    </row>
    <row r="1178" spans="2:9" ht="12.75">
      <c r="B1178" s="420"/>
      <c r="C1178" s="420"/>
      <c r="D1178" s="420"/>
      <c r="E1178" s="420"/>
      <c r="F1178" s="420"/>
      <c r="G1178" s="420"/>
      <c r="H1178" s="420"/>
      <c r="I1178" s="420"/>
    </row>
    <row r="1179" spans="2:9" ht="12.75">
      <c r="B1179" s="420"/>
      <c r="C1179" s="420"/>
      <c r="D1179" s="420"/>
      <c r="E1179" s="420"/>
      <c r="F1179" s="420"/>
      <c r="G1179" s="420"/>
      <c r="H1179" s="420"/>
      <c r="I1179" s="420"/>
    </row>
    <row r="1180" spans="2:9" ht="12.75">
      <c r="B1180" s="420"/>
      <c r="C1180" s="420"/>
      <c r="D1180" s="420"/>
      <c r="E1180" s="420"/>
      <c r="F1180" s="420"/>
      <c r="G1180" s="420"/>
      <c r="H1180" s="420"/>
      <c r="I1180" s="420"/>
    </row>
    <row r="1181" spans="2:9" ht="12.75">
      <c r="B1181" s="420"/>
      <c r="C1181" s="420"/>
      <c r="D1181" s="420"/>
      <c r="E1181" s="420"/>
      <c r="F1181" s="420"/>
      <c r="G1181" s="420"/>
      <c r="H1181" s="420"/>
      <c r="I1181" s="420"/>
    </row>
    <row r="1182" spans="2:9" ht="12.75">
      <c r="B1182" s="420"/>
      <c r="C1182" s="420"/>
      <c r="D1182" s="420"/>
      <c r="E1182" s="420"/>
      <c r="F1182" s="420"/>
      <c r="G1182" s="420"/>
      <c r="H1182" s="420"/>
      <c r="I1182" s="420"/>
    </row>
    <row r="1183" spans="2:9" ht="12.75">
      <c r="B1183" s="420"/>
      <c r="C1183" s="420"/>
      <c r="D1183" s="420"/>
      <c r="E1183" s="420"/>
      <c r="F1183" s="420"/>
      <c r="G1183" s="420"/>
      <c r="H1183" s="420"/>
      <c r="I1183" s="420"/>
    </row>
    <row r="1184" spans="2:9" ht="12.75">
      <c r="B1184" s="420"/>
      <c r="C1184" s="420"/>
      <c r="D1184" s="420"/>
      <c r="E1184" s="420"/>
      <c r="F1184" s="420"/>
      <c r="G1184" s="420"/>
      <c r="H1184" s="420"/>
      <c r="I1184" s="420"/>
    </row>
    <row r="1185" spans="2:9" ht="12.75">
      <c r="B1185" s="420"/>
      <c r="C1185" s="420"/>
      <c r="D1185" s="420"/>
      <c r="E1185" s="420"/>
      <c r="F1185" s="420"/>
      <c r="G1185" s="420"/>
      <c r="H1185" s="420"/>
      <c r="I1185" s="420"/>
    </row>
    <row r="1186" spans="2:9" ht="12.75">
      <c r="B1186" s="420"/>
      <c r="C1186" s="420"/>
      <c r="D1186" s="420"/>
      <c r="E1186" s="420"/>
      <c r="F1186" s="420"/>
      <c r="G1186" s="420"/>
      <c r="H1186" s="420"/>
      <c r="I1186" s="420"/>
    </row>
    <row r="1187" spans="2:9" ht="12.75">
      <c r="B1187" s="420"/>
      <c r="C1187" s="420"/>
      <c r="D1187" s="420"/>
      <c r="E1187" s="420"/>
      <c r="F1187" s="420"/>
      <c r="G1187" s="420"/>
      <c r="H1187" s="420"/>
      <c r="I1187" s="420"/>
    </row>
    <row r="1188" spans="2:9" ht="12.75">
      <c r="B1188" s="420"/>
      <c r="C1188" s="420"/>
      <c r="D1188" s="420"/>
      <c r="E1188" s="420"/>
      <c r="F1188" s="420"/>
      <c r="G1188" s="420"/>
      <c r="H1188" s="420"/>
      <c r="I1188" s="420"/>
    </row>
    <row r="1189" spans="2:9" ht="12.75">
      <c r="B1189" s="420"/>
      <c r="C1189" s="420"/>
      <c r="D1189" s="420"/>
      <c r="E1189" s="420"/>
      <c r="F1189" s="420"/>
      <c r="G1189" s="420"/>
      <c r="H1189" s="420"/>
      <c r="I1189" s="420"/>
    </row>
    <row r="1190" spans="2:9" ht="12.75">
      <c r="B1190" s="420"/>
      <c r="C1190" s="420"/>
      <c r="D1190" s="420"/>
      <c r="E1190" s="420"/>
      <c r="F1190" s="420"/>
      <c r="G1190" s="420"/>
      <c r="H1190" s="420"/>
      <c r="I1190" s="420"/>
    </row>
    <row r="1191" spans="2:9" ht="12.75">
      <c r="B1191" s="420"/>
      <c r="C1191" s="420"/>
      <c r="D1191" s="420"/>
      <c r="E1191" s="420"/>
      <c r="F1191" s="420"/>
      <c r="G1191" s="420"/>
      <c r="H1191" s="420"/>
      <c r="I1191" s="420"/>
    </row>
    <row r="1192" spans="2:9" ht="12.75">
      <c r="B1192" s="420"/>
      <c r="C1192" s="420"/>
      <c r="D1192" s="420"/>
      <c r="E1192" s="420"/>
      <c r="F1192" s="420"/>
      <c r="G1192" s="420"/>
      <c r="H1192" s="420"/>
      <c r="I1192" s="420"/>
    </row>
    <row r="1193" spans="2:9" ht="12.75">
      <c r="B1193" s="420"/>
      <c r="C1193" s="420"/>
      <c r="D1193" s="420"/>
      <c r="E1193" s="420"/>
      <c r="F1193" s="420"/>
      <c r="G1193" s="420"/>
      <c r="H1193" s="420"/>
      <c r="I1193" s="420"/>
    </row>
    <row r="1194" spans="2:9" ht="12.75">
      <c r="B1194" s="420"/>
      <c r="C1194" s="420"/>
      <c r="D1194" s="420"/>
      <c r="E1194" s="420"/>
      <c r="F1194" s="420"/>
      <c r="G1194" s="420"/>
      <c r="H1194" s="420"/>
      <c r="I1194" s="420"/>
    </row>
    <row r="1195" spans="2:9" ht="12.75">
      <c r="B1195" s="420"/>
      <c r="C1195" s="420"/>
      <c r="D1195" s="420"/>
      <c r="E1195" s="420"/>
      <c r="F1195" s="420"/>
      <c r="G1195" s="420"/>
      <c r="H1195" s="420"/>
      <c r="I1195" s="420"/>
    </row>
    <row r="1196" spans="2:9" ht="12.75">
      <c r="B1196" s="420"/>
      <c r="C1196" s="420"/>
      <c r="D1196" s="420"/>
      <c r="E1196" s="420"/>
      <c r="F1196" s="420"/>
      <c r="G1196" s="420"/>
      <c r="H1196" s="420"/>
      <c r="I1196" s="420"/>
    </row>
    <row r="1197" spans="2:9" ht="12.75">
      <c r="B1197" s="420"/>
      <c r="C1197" s="420"/>
      <c r="D1197" s="420"/>
      <c r="E1197" s="420"/>
      <c r="F1197" s="420"/>
      <c r="G1197" s="420"/>
      <c r="H1197" s="420"/>
      <c r="I1197" s="420"/>
    </row>
    <row r="1198" spans="2:9" ht="12.75">
      <c r="B1198" s="420"/>
      <c r="C1198" s="420"/>
      <c r="D1198" s="420"/>
      <c r="E1198" s="420"/>
      <c r="F1198" s="420"/>
      <c r="G1198" s="420"/>
      <c r="H1198" s="420"/>
      <c r="I1198" s="420"/>
    </row>
    <row r="1199" spans="2:9" ht="12.75">
      <c r="B1199" s="420"/>
      <c r="C1199" s="420"/>
      <c r="D1199" s="420"/>
      <c r="E1199" s="420"/>
      <c r="F1199" s="420"/>
      <c r="G1199" s="420"/>
      <c r="H1199" s="420"/>
      <c r="I1199" s="420"/>
    </row>
    <row r="1200" spans="2:9" ht="12.75">
      <c r="B1200" s="420"/>
      <c r="C1200" s="420"/>
      <c r="D1200" s="420"/>
      <c r="E1200" s="420"/>
      <c r="F1200" s="420"/>
      <c r="G1200" s="420"/>
      <c r="H1200" s="420"/>
      <c r="I1200" s="420"/>
    </row>
    <row r="1201" spans="2:9" ht="12.75">
      <c r="B1201" s="420"/>
      <c r="C1201" s="420"/>
      <c r="D1201" s="420"/>
      <c r="E1201" s="420"/>
      <c r="F1201" s="420"/>
      <c r="G1201" s="420"/>
      <c r="H1201" s="420"/>
      <c r="I1201" s="420"/>
    </row>
    <row r="1202" spans="2:9" ht="12.75">
      <c r="B1202" s="420"/>
      <c r="C1202" s="420"/>
      <c r="D1202" s="420"/>
      <c r="E1202" s="420"/>
      <c r="F1202" s="420"/>
      <c r="G1202" s="420"/>
      <c r="H1202" s="420"/>
      <c r="I1202" s="420"/>
    </row>
    <row r="1203" spans="2:9" ht="12.75">
      <c r="B1203" s="420"/>
      <c r="C1203" s="420"/>
      <c r="D1203" s="420"/>
      <c r="E1203" s="420"/>
      <c r="F1203" s="420"/>
      <c r="G1203" s="420"/>
      <c r="H1203" s="420"/>
      <c r="I1203" s="420"/>
    </row>
    <row r="1204" spans="2:9" ht="12.75">
      <c r="B1204" s="420"/>
      <c r="C1204" s="420"/>
      <c r="D1204" s="420"/>
      <c r="E1204" s="420"/>
      <c r="F1204" s="420"/>
      <c r="G1204" s="420"/>
      <c r="H1204" s="420"/>
      <c r="I1204" s="420"/>
    </row>
    <row r="1205" spans="2:9" ht="12.75">
      <c r="B1205" s="420"/>
      <c r="C1205" s="420"/>
      <c r="D1205" s="420"/>
      <c r="E1205" s="420"/>
      <c r="F1205" s="420"/>
      <c r="G1205" s="420"/>
      <c r="H1205" s="420"/>
      <c r="I1205" s="420"/>
    </row>
    <row r="1206" spans="2:9" ht="12.75">
      <c r="B1206" s="420"/>
      <c r="C1206" s="420"/>
      <c r="D1206" s="420"/>
      <c r="E1206" s="420"/>
      <c r="F1206" s="420"/>
      <c r="G1206" s="420"/>
      <c r="H1206" s="420"/>
      <c r="I1206" s="420"/>
    </row>
    <row r="1207" spans="2:9" ht="12.75">
      <c r="B1207" s="420"/>
      <c r="C1207" s="420"/>
      <c r="D1207" s="420"/>
      <c r="E1207" s="420"/>
      <c r="F1207" s="420"/>
      <c r="G1207" s="420"/>
      <c r="H1207" s="420"/>
      <c r="I1207" s="420"/>
    </row>
    <row r="1208" spans="2:9" ht="12.75">
      <c r="B1208" s="420"/>
      <c r="C1208" s="420"/>
      <c r="D1208" s="420"/>
      <c r="E1208" s="420"/>
      <c r="F1208" s="420"/>
      <c r="G1208" s="420"/>
      <c r="H1208" s="420"/>
      <c r="I1208" s="420"/>
    </row>
    <row r="1209" spans="2:9" ht="12.75">
      <c r="B1209" s="420"/>
      <c r="C1209" s="420"/>
      <c r="D1209" s="420"/>
      <c r="E1209" s="420"/>
      <c r="F1209" s="420"/>
      <c r="G1209" s="420"/>
      <c r="H1209" s="420"/>
      <c r="I1209" s="420"/>
    </row>
    <row r="1210" spans="2:9" ht="12.75">
      <c r="B1210" s="420"/>
      <c r="C1210" s="420"/>
      <c r="D1210" s="420"/>
      <c r="E1210" s="420"/>
      <c r="F1210" s="420"/>
      <c r="G1210" s="420"/>
      <c r="H1210" s="420"/>
      <c r="I1210" s="420"/>
    </row>
    <row r="1211" spans="2:9" ht="12.75">
      <c r="B1211" s="420"/>
      <c r="C1211" s="420"/>
      <c r="D1211" s="420"/>
      <c r="E1211" s="420"/>
      <c r="F1211" s="420"/>
      <c r="G1211" s="420"/>
      <c r="H1211" s="420"/>
      <c r="I1211" s="420"/>
    </row>
    <row r="1212" spans="2:9" ht="12.75">
      <c r="B1212" s="420"/>
      <c r="C1212" s="420"/>
      <c r="D1212" s="420"/>
      <c r="E1212" s="420"/>
      <c r="F1212" s="420"/>
      <c r="G1212" s="420"/>
      <c r="H1212" s="420"/>
      <c r="I1212" s="420"/>
    </row>
    <row r="1213" spans="2:9" ht="12.75">
      <c r="B1213" s="420"/>
      <c r="C1213" s="420"/>
      <c r="D1213" s="420"/>
      <c r="E1213" s="420"/>
      <c r="F1213" s="420"/>
      <c r="G1213" s="420"/>
      <c r="H1213" s="420"/>
      <c r="I1213" s="420"/>
    </row>
    <row r="1214" spans="2:9" ht="12.75">
      <c r="B1214" s="420"/>
      <c r="C1214" s="420"/>
      <c r="D1214" s="420"/>
      <c r="E1214" s="420"/>
      <c r="F1214" s="420"/>
      <c r="G1214" s="420"/>
      <c r="H1214" s="420"/>
      <c r="I1214" s="420"/>
    </row>
    <row r="1215" spans="2:9" ht="12.75">
      <c r="B1215" s="420"/>
      <c r="C1215" s="420"/>
      <c r="D1215" s="420"/>
      <c r="E1215" s="420"/>
      <c r="F1215" s="420"/>
      <c r="G1215" s="420"/>
      <c r="H1215" s="420"/>
      <c r="I1215" s="420"/>
    </row>
    <row r="1216" spans="2:9" ht="12.75">
      <c r="B1216" s="420"/>
      <c r="C1216" s="420"/>
      <c r="D1216" s="420"/>
      <c r="E1216" s="420"/>
      <c r="F1216" s="420"/>
      <c r="G1216" s="420"/>
      <c r="H1216" s="420"/>
      <c r="I1216" s="420"/>
    </row>
    <row r="1217" spans="2:9" ht="12.75">
      <c r="B1217" s="420"/>
      <c r="C1217" s="420"/>
      <c r="D1217" s="420"/>
      <c r="E1217" s="420"/>
      <c r="F1217" s="420"/>
      <c r="G1217" s="420"/>
      <c r="H1217" s="420"/>
      <c r="I1217" s="420"/>
    </row>
    <row r="1218" spans="2:9" ht="12.75">
      <c r="B1218" s="420"/>
      <c r="C1218" s="420"/>
      <c r="D1218" s="420"/>
      <c r="E1218" s="420"/>
      <c r="F1218" s="420"/>
      <c r="G1218" s="420"/>
      <c r="H1218" s="420"/>
      <c r="I1218" s="420"/>
    </row>
    <row r="1219" spans="2:9" ht="12.75">
      <c r="B1219" s="420"/>
      <c r="C1219" s="420"/>
      <c r="D1219" s="420"/>
      <c r="E1219" s="420"/>
      <c r="F1219" s="420"/>
      <c r="G1219" s="420"/>
      <c r="H1219" s="420"/>
      <c r="I1219" s="420"/>
    </row>
    <row r="1220" spans="2:9" ht="12.75">
      <c r="B1220" s="420"/>
      <c r="C1220" s="420"/>
      <c r="D1220" s="420"/>
      <c r="E1220" s="420"/>
      <c r="F1220" s="420"/>
      <c r="G1220" s="420"/>
      <c r="H1220" s="420"/>
      <c r="I1220" s="420"/>
    </row>
    <row r="1221" spans="2:9" ht="12.75">
      <c r="B1221" s="420"/>
      <c r="C1221" s="420"/>
      <c r="D1221" s="420"/>
      <c r="E1221" s="420"/>
      <c r="F1221" s="420"/>
      <c r="G1221" s="420"/>
      <c r="H1221" s="420"/>
      <c r="I1221" s="420"/>
    </row>
    <row r="1222" spans="2:9" ht="12.75">
      <c r="B1222" s="420"/>
      <c r="C1222" s="420"/>
      <c r="D1222" s="420"/>
      <c r="E1222" s="420"/>
      <c r="F1222" s="420"/>
      <c r="G1222" s="420"/>
      <c r="H1222" s="420"/>
      <c r="I1222" s="420"/>
    </row>
    <row r="1223" spans="2:9" ht="12.75">
      <c r="B1223" s="420"/>
      <c r="C1223" s="420"/>
      <c r="D1223" s="420"/>
      <c r="E1223" s="420"/>
      <c r="F1223" s="420"/>
      <c r="G1223" s="420"/>
      <c r="H1223" s="420"/>
      <c r="I1223" s="420"/>
    </row>
    <row r="1224" spans="2:9" ht="12.75">
      <c r="B1224" s="420"/>
      <c r="C1224" s="420"/>
      <c r="D1224" s="420"/>
      <c r="E1224" s="420"/>
      <c r="F1224" s="420"/>
      <c r="G1224" s="420"/>
      <c r="H1224" s="420"/>
      <c r="I1224" s="420"/>
    </row>
    <row r="1225" spans="2:9" ht="12.75">
      <c r="B1225" s="420"/>
      <c r="C1225" s="420"/>
      <c r="D1225" s="420"/>
      <c r="E1225" s="420"/>
      <c r="F1225" s="420"/>
      <c r="G1225" s="420"/>
      <c r="H1225" s="420"/>
      <c r="I1225" s="420"/>
    </row>
    <row r="1226" spans="2:9" ht="12.75">
      <c r="B1226" s="420"/>
      <c r="C1226" s="420"/>
      <c r="D1226" s="420"/>
      <c r="E1226" s="420"/>
      <c r="F1226" s="420"/>
      <c r="G1226" s="420"/>
      <c r="H1226" s="420"/>
      <c r="I1226" s="420"/>
    </row>
    <row r="1227" spans="2:9" ht="12.75">
      <c r="B1227" s="420"/>
      <c r="C1227" s="420"/>
      <c r="D1227" s="420"/>
      <c r="E1227" s="420"/>
      <c r="F1227" s="420"/>
      <c r="G1227" s="420"/>
      <c r="H1227" s="420"/>
      <c r="I1227" s="420"/>
    </row>
    <row r="1228" spans="2:9" ht="12.75">
      <c r="B1228" s="420"/>
      <c r="C1228" s="420"/>
      <c r="D1228" s="420"/>
      <c r="E1228" s="420"/>
      <c r="F1228" s="420"/>
      <c r="G1228" s="420"/>
      <c r="H1228" s="420"/>
      <c r="I1228" s="420"/>
    </row>
    <row r="1229" spans="2:9" ht="12.75">
      <c r="B1229" s="420"/>
      <c r="C1229" s="420"/>
      <c r="D1229" s="420"/>
      <c r="E1229" s="420"/>
      <c r="F1229" s="420"/>
      <c r="G1229" s="420"/>
      <c r="H1229" s="420"/>
      <c r="I1229" s="420"/>
    </row>
    <row r="1230" spans="2:9" ht="12.75">
      <c r="B1230" s="420"/>
      <c r="C1230" s="420"/>
      <c r="D1230" s="420"/>
      <c r="E1230" s="420"/>
      <c r="F1230" s="420"/>
      <c r="G1230" s="420"/>
      <c r="H1230" s="420"/>
      <c r="I1230" s="420"/>
    </row>
    <row r="1231" spans="2:9" ht="12.75">
      <c r="B1231" s="420"/>
      <c r="C1231" s="420"/>
      <c r="D1231" s="420"/>
      <c r="E1231" s="420"/>
      <c r="F1231" s="420"/>
      <c r="G1231" s="420"/>
      <c r="H1231" s="420"/>
      <c r="I1231" s="420"/>
    </row>
    <row r="1232" spans="2:9" ht="12.75">
      <c r="B1232" s="420"/>
      <c r="C1232" s="420"/>
      <c r="D1232" s="420"/>
      <c r="E1232" s="420"/>
      <c r="F1232" s="420"/>
      <c r="G1232" s="420"/>
      <c r="H1232" s="420"/>
      <c r="I1232" s="420"/>
    </row>
    <row r="1233" spans="2:9" ht="12.75">
      <c r="B1233" s="420"/>
      <c r="C1233" s="420"/>
      <c r="D1233" s="420"/>
      <c r="E1233" s="420"/>
      <c r="F1233" s="420"/>
      <c r="G1233" s="420"/>
      <c r="H1233" s="420"/>
      <c r="I1233" s="420"/>
    </row>
    <row r="1234" spans="2:9" ht="12.75">
      <c r="B1234" s="420"/>
      <c r="C1234" s="420"/>
      <c r="D1234" s="420"/>
      <c r="E1234" s="420"/>
      <c r="F1234" s="420"/>
      <c r="G1234" s="420"/>
      <c r="H1234" s="420"/>
      <c r="I1234" s="420"/>
    </row>
    <row r="1235" spans="2:9" ht="12.75">
      <c r="B1235" s="420"/>
      <c r="C1235" s="420"/>
      <c r="D1235" s="420"/>
      <c r="E1235" s="420"/>
      <c r="F1235" s="420"/>
      <c r="G1235" s="420"/>
      <c r="H1235" s="420"/>
      <c r="I1235" s="420"/>
    </row>
    <row r="1236" spans="2:9" ht="12.75">
      <c r="B1236" s="420"/>
      <c r="C1236" s="420"/>
      <c r="D1236" s="420"/>
      <c r="E1236" s="420"/>
      <c r="F1236" s="420"/>
      <c r="G1236" s="420"/>
      <c r="H1236" s="420"/>
      <c r="I1236" s="420"/>
    </row>
    <row r="1237" spans="2:9" ht="12.75">
      <c r="B1237" s="420"/>
      <c r="C1237" s="420"/>
      <c r="D1237" s="420"/>
      <c r="E1237" s="420"/>
      <c r="F1237" s="420"/>
      <c r="G1237" s="420"/>
      <c r="H1237" s="420"/>
      <c r="I1237" s="420"/>
    </row>
    <row r="1238" spans="2:9" ht="12.75">
      <c r="B1238" s="420"/>
      <c r="C1238" s="420"/>
      <c r="D1238" s="420"/>
      <c r="E1238" s="420"/>
      <c r="F1238" s="420"/>
      <c r="G1238" s="420"/>
      <c r="H1238" s="420"/>
      <c r="I1238" s="420"/>
    </row>
    <row r="1239" spans="2:9" ht="12.75">
      <c r="B1239" s="420"/>
      <c r="C1239" s="420"/>
      <c r="D1239" s="420"/>
      <c r="E1239" s="420"/>
      <c r="F1239" s="420"/>
      <c r="G1239" s="420"/>
      <c r="H1239" s="420"/>
      <c r="I1239" s="420"/>
    </row>
    <row r="1240" spans="2:9" ht="12.75">
      <c r="B1240" s="420"/>
      <c r="C1240" s="420"/>
      <c r="D1240" s="420"/>
      <c r="E1240" s="420"/>
      <c r="F1240" s="420"/>
      <c r="G1240" s="420"/>
      <c r="H1240" s="420"/>
      <c r="I1240" s="420"/>
    </row>
    <row r="1241" spans="2:9" ht="12.75">
      <c r="B1241" s="420"/>
      <c r="C1241" s="420"/>
      <c r="D1241" s="420"/>
      <c r="E1241" s="420"/>
      <c r="F1241" s="420"/>
      <c r="G1241" s="420"/>
      <c r="H1241" s="420"/>
      <c r="I1241" s="420"/>
    </row>
  </sheetData>
  <sheetProtection password="CC4E" sheet="1" selectLockedCells="1"/>
  <protectedRanges>
    <protectedRange sqref="H82:H83 H71:H72 H20:H69 H74:H80 H87:H93" name="Oblast2_3"/>
    <protectedRange sqref="F82:F83 F22:F69 F87:F93" name="Oblast1_3"/>
  </protectedRanges>
  <mergeCells count="7">
    <mergeCell ref="C4:I4"/>
    <mergeCell ref="A1:G1"/>
    <mergeCell ref="C2:I2"/>
    <mergeCell ref="C3:I3"/>
    <mergeCell ref="B16:B18"/>
    <mergeCell ref="F17:G17"/>
    <mergeCell ref="H17:I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115" zoomScaleNormal="115" zoomScalePageLayoutView="0" workbookViewId="0" topLeftCell="A1">
      <selection activeCell="J32" sqref="J32:K32"/>
    </sheetView>
  </sheetViews>
  <sheetFormatPr defaultColWidth="9.140625" defaultRowHeight="12.75"/>
  <cols>
    <col min="1" max="2" width="4.7109375" style="261" customWidth="1"/>
    <col min="3" max="3" width="10.140625" style="261" customWidth="1"/>
    <col min="4" max="6" width="9.140625" style="261" customWidth="1"/>
    <col min="7" max="7" width="34.7109375" style="261" customWidth="1"/>
    <col min="8" max="8" width="7.421875" style="261" customWidth="1"/>
    <col min="9" max="10" width="9.140625" style="314" customWidth="1"/>
    <col min="11" max="11" width="9.140625" style="261" hidden="1" customWidth="1"/>
    <col min="12" max="12" width="11.140625" style="261" customWidth="1"/>
    <col min="13" max="13" width="5.28125" style="261" customWidth="1"/>
    <col min="14" max="16384" width="9.140625" style="261" customWidth="1"/>
  </cols>
  <sheetData>
    <row r="1" spans="1:14" ht="15.75" customHeight="1" thickBot="1">
      <c r="A1" s="502" t="s">
        <v>964</v>
      </c>
      <c r="B1" s="502"/>
      <c r="C1" s="502"/>
      <c r="D1" s="502"/>
      <c r="E1" s="502"/>
      <c r="F1" s="502"/>
      <c r="G1" s="502"/>
      <c r="H1" s="134"/>
      <c r="I1" s="134"/>
      <c r="J1" s="260"/>
      <c r="K1" s="260"/>
      <c r="L1" s="260"/>
      <c r="M1" s="260"/>
      <c r="N1" s="260"/>
    </row>
    <row r="2" spans="1:14" ht="24.75" customHeight="1">
      <c r="A2" s="262" t="s">
        <v>918</v>
      </c>
      <c r="B2" s="263" t="s">
        <v>923</v>
      </c>
      <c r="C2" s="535" t="s">
        <v>991</v>
      </c>
      <c r="D2" s="536"/>
      <c r="E2" s="536"/>
      <c r="F2" s="536"/>
      <c r="G2" s="536"/>
      <c r="H2" s="536"/>
      <c r="I2" s="536"/>
      <c r="J2" s="537"/>
      <c r="K2" s="264"/>
      <c r="L2" s="265"/>
      <c r="M2" s="265"/>
      <c r="N2" s="266"/>
    </row>
    <row r="3" spans="1:14" ht="24.75" customHeight="1">
      <c r="A3" s="267" t="s">
        <v>919</v>
      </c>
      <c r="B3" s="268" t="s">
        <v>616</v>
      </c>
      <c r="C3" s="532" t="s">
        <v>967</v>
      </c>
      <c r="D3" s="533"/>
      <c r="E3" s="533"/>
      <c r="F3" s="533"/>
      <c r="G3" s="533"/>
      <c r="H3" s="533"/>
      <c r="I3" s="533"/>
      <c r="J3" s="534"/>
      <c r="K3" s="269"/>
      <c r="L3" s="265"/>
      <c r="M3" s="265"/>
      <c r="N3" s="266"/>
    </row>
    <row r="4" spans="1:14" ht="24.75" customHeight="1" thickBot="1">
      <c r="A4" s="270" t="s">
        <v>922</v>
      </c>
      <c r="B4" s="271" t="s">
        <v>923</v>
      </c>
      <c r="C4" s="529" t="s">
        <v>756</v>
      </c>
      <c r="D4" s="530"/>
      <c r="E4" s="530"/>
      <c r="F4" s="530"/>
      <c r="G4" s="530"/>
      <c r="H4" s="530"/>
      <c r="I4" s="530"/>
      <c r="J4" s="531"/>
      <c r="K4" s="272"/>
      <c r="L4" s="273"/>
      <c r="M4" s="273"/>
      <c r="N4" s="266"/>
    </row>
    <row r="5" spans="1:14" ht="12.75">
      <c r="A5" s="274"/>
      <c r="B5" s="260"/>
      <c r="C5" s="260"/>
      <c r="D5" s="274"/>
      <c r="E5" s="260"/>
      <c r="F5" s="260"/>
      <c r="G5" s="260"/>
      <c r="H5" s="260"/>
      <c r="I5" s="275"/>
      <c r="J5" s="276"/>
      <c r="K5" s="260"/>
      <c r="L5" s="266"/>
      <c r="M5" s="266"/>
      <c r="N5" s="266"/>
    </row>
    <row r="6" spans="1:14" ht="12.75">
      <c r="A6" s="274"/>
      <c r="B6" s="260"/>
      <c r="C6" s="260"/>
      <c r="D6" s="274"/>
      <c r="E6" s="260"/>
      <c r="F6" s="260"/>
      <c r="G6" s="260"/>
      <c r="H6" s="260"/>
      <c r="I6" s="275"/>
      <c r="J6" s="276"/>
      <c r="K6" s="260"/>
      <c r="L6" s="266"/>
      <c r="M6" s="266"/>
      <c r="N6" s="266"/>
    </row>
    <row r="7" spans="1:14" ht="12.75">
      <c r="A7" s="277" t="s">
        <v>702</v>
      </c>
      <c r="B7" s="277"/>
      <c r="C7" s="277"/>
      <c r="D7" s="277"/>
      <c r="E7" s="277"/>
      <c r="F7" s="278"/>
      <c r="G7" s="278"/>
      <c r="H7" s="278"/>
      <c r="I7" s="278" t="s">
        <v>703</v>
      </c>
      <c r="J7" s="278"/>
      <c r="K7" s="278"/>
      <c r="L7" s="266"/>
      <c r="M7" s="266"/>
      <c r="N7" s="266"/>
    </row>
    <row r="8" spans="1:14" ht="12.75">
      <c r="A8" s="279" t="s">
        <v>715</v>
      </c>
      <c r="B8" s="260"/>
      <c r="C8" s="260"/>
      <c r="D8" s="260"/>
      <c r="E8" s="260"/>
      <c r="F8" s="260"/>
      <c r="G8" s="260"/>
      <c r="H8" s="260"/>
      <c r="I8" s="276"/>
      <c r="J8" s="276"/>
      <c r="K8" s="276"/>
      <c r="L8" s="280"/>
      <c r="M8" s="281"/>
      <c r="N8" s="260"/>
    </row>
    <row r="9" spans="1:14" ht="12.75">
      <c r="A9" s="260"/>
      <c r="B9" s="274" t="s">
        <v>704</v>
      </c>
      <c r="C9" s="260"/>
      <c r="D9" s="260"/>
      <c r="E9" s="260"/>
      <c r="F9" s="260"/>
      <c r="G9" s="260"/>
      <c r="H9" s="260"/>
      <c r="I9" s="276"/>
      <c r="J9" s="276">
        <f>SUM(J10:J13)</f>
        <v>0</v>
      </c>
      <c r="K9" s="276"/>
      <c r="L9" s="281"/>
      <c r="M9" s="281"/>
      <c r="N9" s="260"/>
    </row>
    <row r="10" spans="1:14" ht="12.75">
      <c r="A10" s="260"/>
      <c r="B10" s="274" t="s">
        <v>705</v>
      </c>
      <c r="C10" s="260"/>
      <c r="D10" s="260"/>
      <c r="E10" s="260"/>
      <c r="F10" s="260"/>
      <c r="G10" s="260"/>
      <c r="H10" s="260"/>
      <c r="I10" s="276"/>
      <c r="J10" s="276">
        <f>L22</f>
        <v>0</v>
      </c>
      <c r="K10" s="276"/>
      <c r="L10" s="276"/>
      <c r="M10" s="276"/>
      <c r="N10" s="260"/>
    </row>
    <row r="11" spans="1:14" ht="12.75">
      <c r="A11" s="260"/>
      <c r="B11" s="274" t="s">
        <v>706</v>
      </c>
      <c r="C11" s="260"/>
      <c r="D11" s="260"/>
      <c r="E11" s="260"/>
      <c r="F11" s="260"/>
      <c r="G11" s="260"/>
      <c r="H11" s="260"/>
      <c r="I11" s="276"/>
      <c r="J11" s="276">
        <f>L26</f>
        <v>0</v>
      </c>
      <c r="K11" s="276"/>
      <c r="L11" s="276"/>
      <c r="M11" s="276"/>
      <c r="N11" s="260"/>
    </row>
    <row r="12" spans="1:14" ht="12.75">
      <c r="A12" s="260"/>
      <c r="B12" s="274" t="s">
        <v>707</v>
      </c>
      <c r="C12" s="260"/>
      <c r="D12" s="260"/>
      <c r="E12" s="260"/>
      <c r="F12" s="260"/>
      <c r="G12" s="260"/>
      <c r="H12" s="260"/>
      <c r="I12" s="276"/>
      <c r="J12" s="276">
        <f>L30</f>
        <v>0</v>
      </c>
      <c r="K12" s="276"/>
      <c r="L12" s="276"/>
      <c r="M12" s="276"/>
      <c r="N12" s="260"/>
    </row>
    <row r="13" spans="1:14" ht="12.75">
      <c r="A13" s="260"/>
      <c r="B13" s="274" t="s">
        <v>708</v>
      </c>
      <c r="C13" s="260"/>
      <c r="D13" s="260"/>
      <c r="E13" s="260"/>
      <c r="F13" s="260"/>
      <c r="G13" s="260"/>
      <c r="H13" s="260"/>
      <c r="I13" s="276"/>
      <c r="J13" s="276">
        <f>L35</f>
        <v>0</v>
      </c>
      <c r="K13" s="276"/>
      <c r="L13" s="276"/>
      <c r="M13" s="276"/>
      <c r="N13" s="260"/>
    </row>
    <row r="14" spans="1:14" ht="12.75">
      <c r="A14" s="260"/>
      <c r="B14" s="274" t="s">
        <v>709</v>
      </c>
      <c r="C14" s="260"/>
      <c r="D14" s="260"/>
      <c r="E14" s="260"/>
      <c r="F14" s="260"/>
      <c r="G14" s="260"/>
      <c r="H14" s="260"/>
      <c r="I14" s="276"/>
      <c r="J14" s="276">
        <f>L41</f>
        <v>0</v>
      </c>
      <c r="K14" s="276"/>
      <c r="L14" s="281"/>
      <c r="M14" s="281"/>
      <c r="N14" s="266"/>
    </row>
    <row r="15" spans="1:14" ht="12.75">
      <c r="A15" s="282" t="s">
        <v>983</v>
      </c>
      <c r="B15" s="278"/>
      <c r="C15" s="278"/>
      <c r="D15" s="278"/>
      <c r="E15" s="278"/>
      <c r="F15" s="278"/>
      <c r="G15" s="278"/>
      <c r="H15" s="278"/>
      <c r="I15" s="283"/>
      <c r="J15" s="284">
        <f>ROUND(SUM(J9+J14),2)</f>
        <v>0</v>
      </c>
      <c r="K15" s="283"/>
      <c r="L15" s="281"/>
      <c r="M15" s="281"/>
      <c r="N15" s="266"/>
    </row>
    <row r="16" spans="1:14" ht="12.75">
      <c r="A16" s="260"/>
      <c r="B16" s="260"/>
      <c r="C16" s="260"/>
      <c r="D16" s="260"/>
      <c r="E16" s="260"/>
      <c r="F16" s="260"/>
      <c r="G16" s="260"/>
      <c r="H16" s="260"/>
      <c r="I16" s="276"/>
      <c r="J16" s="276"/>
      <c r="K16" s="260"/>
      <c r="L16" s="266"/>
      <c r="M16" s="266"/>
      <c r="N16" s="266"/>
    </row>
    <row r="17" spans="1:14" ht="12.75">
      <c r="A17" s="260"/>
      <c r="B17" s="260"/>
      <c r="C17" s="260"/>
      <c r="D17" s="260"/>
      <c r="E17" s="260"/>
      <c r="F17" s="260"/>
      <c r="G17" s="260"/>
      <c r="H17" s="260"/>
      <c r="I17" s="276"/>
      <c r="J17" s="276"/>
      <c r="K17" s="260"/>
      <c r="L17" s="266"/>
      <c r="M17" s="266"/>
      <c r="N17" s="266"/>
    </row>
    <row r="18" spans="1:14" ht="25.5" customHeight="1" thickBot="1">
      <c r="A18" s="515" t="s">
        <v>817</v>
      </c>
      <c r="B18" s="516"/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6"/>
      <c r="N18" s="260"/>
    </row>
    <row r="19" spans="1:15" ht="12.75">
      <c r="A19" s="285" t="s">
        <v>710</v>
      </c>
      <c r="B19" s="286" t="s">
        <v>711</v>
      </c>
      <c r="C19" s="286" t="s">
        <v>193</v>
      </c>
      <c r="D19" s="517" t="s">
        <v>712</v>
      </c>
      <c r="E19" s="517"/>
      <c r="F19" s="517"/>
      <c r="G19" s="517"/>
      <c r="H19" s="286" t="s">
        <v>713</v>
      </c>
      <c r="I19" s="287" t="s">
        <v>545</v>
      </c>
      <c r="J19" s="517" t="s">
        <v>714</v>
      </c>
      <c r="K19" s="517"/>
      <c r="L19" s="517" t="s">
        <v>703</v>
      </c>
      <c r="M19" s="518"/>
      <c r="N19" s="288"/>
      <c r="O19" s="289"/>
    </row>
    <row r="20" spans="1:14" ht="12.75">
      <c r="A20" s="290" t="s">
        <v>715</v>
      </c>
      <c r="B20" s="291"/>
      <c r="C20" s="291"/>
      <c r="D20" s="291"/>
      <c r="E20" s="291"/>
      <c r="F20" s="291"/>
      <c r="G20" s="291"/>
      <c r="H20" s="291"/>
      <c r="I20" s="292"/>
      <c r="J20" s="292"/>
      <c r="K20" s="291"/>
      <c r="L20" s="519">
        <f>L21+L41</f>
        <v>0</v>
      </c>
      <c r="M20" s="520"/>
      <c r="N20" s="260"/>
    </row>
    <row r="21" spans="1:15" ht="12.75">
      <c r="A21" s="293"/>
      <c r="B21" s="294" t="s">
        <v>704</v>
      </c>
      <c r="C21" s="295"/>
      <c r="D21" s="295"/>
      <c r="E21" s="295"/>
      <c r="F21" s="295"/>
      <c r="G21" s="295"/>
      <c r="H21" s="295"/>
      <c r="I21" s="296"/>
      <c r="J21" s="296"/>
      <c r="K21" s="295"/>
      <c r="L21" s="521">
        <f>L22+L26+L30+L35</f>
        <v>0</v>
      </c>
      <c r="M21" s="522"/>
      <c r="N21" s="297"/>
      <c r="O21" s="298"/>
    </row>
    <row r="22" spans="1:15" ht="12.75">
      <c r="A22" s="299"/>
      <c r="B22" s="300" t="s">
        <v>705</v>
      </c>
      <c r="C22" s="300"/>
      <c r="D22" s="300"/>
      <c r="E22" s="300"/>
      <c r="F22" s="300"/>
      <c r="G22" s="300"/>
      <c r="H22" s="300"/>
      <c r="I22" s="301"/>
      <c r="J22" s="301"/>
      <c r="K22" s="300"/>
      <c r="L22" s="519">
        <f>SUM(L23:M25)</f>
        <v>0</v>
      </c>
      <c r="M22" s="520"/>
      <c r="N22" s="297"/>
      <c r="O22" s="298"/>
    </row>
    <row r="23" spans="1:14" ht="25.5" customHeight="1">
      <c r="A23" s="302">
        <v>1</v>
      </c>
      <c r="B23" s="303" t="s">
        <v>716</v>
      </c>
      <c r="C23" s="304" t="s">
        <v>717</v>
      </c>
      <c r="D23" s="523" t="s">
        <v>718</v>
      </c>
      <c r="E23" s="516"/>
      <c r="F23" s="516"/>
      <c r="G23" s="516"/>
      <c r="H23" s="288" t="s">
        <v>541</v>
      </c>
      <c r="I23" s="276">
        <v>12</v>
      </c>
      <c r="J23" s="524">
        <v>0</v>
      </c>
      <c r="K23" s="524"/>
      <c r="L23" s="525">
        <f>I23*J23</f>
        <v>0</v>
      </c>
      <c r="M23" s="526"/>
      <c r="N23" s="305"/>
    </row>
    <row r="24" spans="1:14" ht="12.75" customHeight="1">
      <c r="A24" s="302">
        <v>2</v>
      </c>
      <c r="B24" s="303" t="s">
        <v>719</v>
      </c>
      <c r="C24" s="306" t="s">
        <v>720</v>
      </c>
      <c r="D24" s="527" t="s">
        <v>961</v>
      </c>
      <c r="E24" s="528"/>
      <c r="F24" s="528"/>
      <c r="G24" s="528"/>
      <c r="H24" s="288" t="s">
        <v>541</v>
      </c>
      <c r="I24" s="276">
        <v>12</v>
      </c>
      <c r="J24" s="524">
        <v>0</v>
      </c>
      <c r="K24" s="524"/>
      <c r="L24" s="525">
        <f>I24*J24</f>
        <v>0</v>
      </c>
      <c r="M24" s="526"/>
      <c r="N24" s="305"/>
    </row>
    <row r="25" spans="1:14" ht="12.75">
      <c r="A25" s="302">
        <v>3</v>
      </c>
      <c r="B25" s="303" t="s">
        <v>716</v>
      </c>
      <c r="C25" s="306" t="s">
        <v>721</v>
      </c>
      <c r="D25" s="523" t="s">
        <v>722</v>
      </c>
      <c r="E25" s="516"/>
      <c r="F25" s="516"/>
      <c r="G25" s="516"/>
      <c r="H25" s="288" t="s">
        <v>723</v>
      </c>
      <c r="I25" s="276">
        <v>14.616</v>
      </c>
      <c r="J25" s="524">
        <v>0</v>
      </c>
      <c r="K25" s="524"/>
      <c r="L25" s="525">
        <f>I25*J25</f>
        <v>0</v>
      </c>
      <c r="M25" s="526"/>
      <c r="N25" s="260"/>
    </row>
    <row r="26" spans="1:15" ht="12.75">
      <c r="A26" s="299"/>
      <c r="B26" s="300" t="s">
        <v>706</v>
      </c>
      <c r="C26" s="300"/>
      <c r="D26" s="300"/>
      <c r="E26" s="300"/>
      <c r="F26" s="300"/>
      <c r="G26" s="300"/>
      <c r="H26" s="300"/>
      <c r="I26" s="301"/>
      <c r="J26" s="301"/>
      <c r="K26" s="301"/>
      <c r="L26" s="519">
        <f>SUM(L27:M29)</f>
        <v>0</v>
      </c>
      <c r="M26" s="520"/>
      <c r="N26" s="297"/>
      <c r="O26" s="298"/>
    </row>
    <row r="27" spans="1:14" ht="12.75">
      <c r="A27" s="302">
        <v>4</v>
      </c>
      <c r="B27" s="303" t="s">
        <v>716</v>
      </c>
      <c r="C27" s="306" t="s">
        <v>724</v>
      </c>
      <c r="D27" s="523" t="s">
        <v>725</v>
      </c>
      <c r="E27" s="516"/>
      <c r="F27" s="516"/>
      <c r="G27" s="516"/>
      <c r="H27" s="288" t="s">
        <v>544</v>
      </c>
      <c r="I27" s="276">
        <v>1</v>
      </c>
      <c r="J27" s="524">
        <v>0</v>
      </c>
      <c r="K27" s="524"/>
      <c r="L27" s="525">
        <f>I27*J27</f>
        <v>0</v>
      </c>
      <c r="M27" s="526"/>
      <c r="N27" s="260"/>
    </row>
    <row r="28" spans="1:14" ht="12.75">
      <c r="A28" s="302">
        <v>5</v>
      </c>
      <c r="B28" s="303" t="s">
        <v>716</v>
      </c>
      <c r="C28" s="306" t="s">
        <v>726</v>
      </c>
      <c r="D28" s="523" t="s">
        <v>727</v>
      </c>
      <c r="E28" s="516"/>
      <c r="F28" s="516"/>
      <c r="G28" s="516"/>
      <c r="H28" s="288" t="s">
        <v>541</v>
      </c>
      <c r="I28" s="276">
        <v>15</v>
      </c>
      <c r="J28" s="524">
        <v>0</v>
      </c>
      <c r="K28" s="524"/>
      <c r="L28" s="525">
        <f>I28*J28</f>
        <v>0</v>
      </c>
      <c r="M28" s="526"/>
      <c r="N28" s="260"/>
    </row>
    <row r="29" spans="1:14" ht="12.75">
      <c r="A29" s="302">
        <v>6</v>
      </c>
      <c r="B29" s="303" t="s">
        <v>716</v>
      </c>
      <c r="C29" s="306" t="s">
        <v>728</v>
      </c>
      <c r="D29" s="523" t="s">
        <v>729</v>
      </c>
      <c r="E29" s="516"/>
      <c r="F29" s="516"/>
      <c r="G29" s="516"/>
      <c r="H29" s="288" t="s">
        <v>723</v>
      </c>
      <c r="I29" s="276">
        <v>213.9</v>
      </c>
      <c r="J29" s="524">
        <v>0</v>
      </c>
      <c r="K29" s="524"/>
      <c r="L29" s="525">
        <f>I29*J29</f>
        <v>0</v>
      </c>
      <c r="M29" s="526"/>
      <c r="N29" s="260"/>
    </row>
    <row r="30" spans="1:15" ht="12.75">
      <c r="A30" s="299"/>
      <c r="B30" s="300" t="s">
        <v>707</v>
      </c>
      <c r="C30" s="300"/>
      <c r="D30" s="300"/>
      <c r="E30" s="300"/>
      <c r="F30" s="300"/>
      <c r="G30" s="300"/>
      <c r="H30" s="300"/>
      <c r="I30" s="301"/>
      <c r="J30" s="301"/>
      <c r="K30" s="301"/>
      <c r="L30" s="519">
        <f>SUM(L31:M34)</f>
        <v>0</v>
      </c>
      <c r="M30" s="520"/>
      <c r="N30" s="297"/>
      <c r="O30" s="298"/>
    </row>
    <row r="31" spans="1:14" ht="12.75">
      <c r="A31" s="302">
        <v>7</v>
      </c>
      <c r="B31" s="303" t="s">
        <v>716</v>
      </c>
      <c r="C31" s="306" t="s">
        <v>730</v>
      </c>
      <c r="D31" s="523" t="s">
        <v>731</v>
      </c>
      <c r="E31" s="516"/>
      <c r="F31" s="516"/>
      <c r="G31" s="516"/>
      <c r="H31" s="288" t="s">
        <v>541</v>
      </c>
      <c r="I31" s="276">
        <v>12</v>
      </c>
      <c r="J31" s="524">
        <v>0</v>
      </c>
      <c r="K31" s="524"/>
      <c r="L31" s="525">
        <f>I31*J31</f>
        <v>0</v>
      </c>
      <c r="M31" s="526"/>
      <c r="N31" s="260"/>
    </row>
    <row r="32" spans="1:14" ht="25.5" customHeight="1">
      <c r="A32" s="302">
        <v>8</v>
      </c>
      <c r="B32" s="303" t="s">
        <v>716</v>
      </c>
      <c r="C32" s="304" t="s">
        <v>732</v>
      </c>
      <c r="D32" s="523" t="s">
        <v>733</v>
      </c>
      <c r="E32" s="516"/>
      <c r="F32" s="516"/>
      <c r="G32" s="516"/>
      <c r="H32" s="288" t="s">
        <v>543</v>
      </c>
      <c r="I32" s="276">
        <v>4</v>
      </c>
      <c r="J32" s="524">
        <v>0</v>
      </c>
      <c r="K32" s="524"/>
      <c r="L32" s="525">
        <f>I32*J32</f>
        <v>0</v>
      </c>
      <c r="M32" s="526"/>
      <c r="N32" s="260"/>
    </row>
    <row r="33" spans="1:14" ht="12.75">
      <c r="A33" s="302">
        <v>9</v>
      </c>
      <c r="B33" s="303" t="s">
        <v>716</v>
      </c>
      <c r="C33" s="306" t="s">
        <v>734</v>
      </c>
      <c r="D33" s="523" t="s">
        <v>735</v>
      </c>
      <c r="E33" s="516"/>
      <c r="F33" s="516"/>
      <c r="G33" s="516"/>
      <c r="H33" s="288" t="s">
        <v>541</v>
      </c>
      <c r="I33" s="276">
        <v>12</v>
      </c>
      <c r="J33" s="524">
        <v>0</v>
      </c>
      <c r="K33" s="524"/>
      <c r="L33" s="525">
        <f>I33*J33</f>
        <v>0</v>
      </c>
      <c r="M33" s="526"/>
      <c r="N33" s="260"/>
    </row>
    <row r="34" spans="1:14" ht="12.75">
      <c r="A34" s="302">
        <v>10</v>
      </c>
      <c r="B34" s="303" t="s">
        <v>716</v>
      </c>
      <c r="C34" s="306" t="s">
        <v>736</v>
      </c>
      <c r="D34" s="523" t="s">
        <v>737</v>
      </c>
      <c r="E34" s="516"/>
      <c r="F34" s="516"/>
      <c r="G34" s="516"/>
      <c r="H34" s="288" t="s">
        <v>723</v>
      </c>
      <c r="I34" s="276">
        <v>54.128</v>
      </c>
      <c r="J34" s="524">
        <v>0</v>
      </c>
      <c r="K34" s="524"/>
      <c r="L34" s="525">
        <f>I34*J34</f>
        <v>0</v>
      </c>
      <c r="M34" s="526"/>
      <c r="N34" s="260"/>
    </row>
    <row r="35" spans="1:15" ht="12.75">
      <c r="A35" s="299"/>
      <c r="B35" s="300" t="s">
        <v>708</v>
      </c>
      <c r="C35" s="300"/>
      <c r="D35" s="300"/>
      <c r="E35" s="300"/>
      <c r="F35" s="300"/>
      <c r="G35" s="300"/>
      <c r="H35" s="300"/>
      <c r="I35" s="301"/>
      <c r="J35" s="301"/>
      <c r="K35" s="301"/>
      <c r="L35" s="519">
        <f>SUM(L36:M40)</f>
        <v>0</v>
      </c>
      <c r="M35" s="520"/>
      <c r="N35" s="297"/>
      <c r="O35" s="298"/>
    </row>
    <row r="36" spans="1:14" ht="25.5" customHeight="1">
      <c r="A36" s="302">
        <v>11</v>
      </c>
      <c r="B36" s="303" t="s">
        <v>716</v>
      </c>
      <c r="C36" s="304" t="s">
        <v>738</v>
      </c>
      <c r="D36" s="523" t="s">
        <v>739</v>
      </c>
      <c r="E36" s="516"/>
      <c r="F36" s="516"/>
      <c r="G36" s="516"/>
      <c r="H36" s="288" t="s">
        <v>543</v>
      </c>
      <c r="I36" s="276">
        <v>2</v>
      </c>
      <c r="J36" s="524">
        <v>0</v>
      </c>
      <c r="K36" s="524"/>
      <c r="L36" s="525">
        <f>I36*J36</f>
        <v>0</v>
      </c>
      <c r="M36" s="526"/>
      <c r="N36" s="260"/>
    </row>
    <row r="37" spans="1:14" ht="12.75">
      <c r="A37" s="302">
        <v>12</v>
      </c>
      <c r="B37" s="303" t="s">
        <v>716</v>
      </c>
      <c r="C37" s="306" t="s">
        <v>740</v>
      </c>
      <c r="D37" s="523" t="s">
        <v>741</v>
      </c>
      <c r="E37" s="516"/>
      <c r="F37" s="516"/>
      <c r="G37" s="516"/>
      <c r="H37" s="288" t="s">
        <v>543</v>
      </c>
      <c r="I37" s="276">
        <v>4</v>
      </c>
      <c r="J37" s="524">
        <v>0</v>
      </c>
      <c r="K37" s="524"/>
      <c r="L37" s="525">
        <f>I37*J37</f>
        <v>0</v>
      </c>
      <c r="M37" s="526"/>
      <c r="N37" s="260"/>
    </row>
    <row r="38" spans="1:14" ht="12.75">
      <c r="A38" s="302">
        <v>13</v>
      </c>
      <c r="B38" s="303" t="s">
        <v>716</v>
      </c>
      <c r="C38" s="306" t="s">
        <v>742</v>
      </c>
      <c r="D38" s="523" t="s">
        <v>743</v>
      </c>
      <c r="E38" s="516"/>
      <c r="F38" s="516"/>
      <c r="G38" s="516"/>
      <c r="H38" s="288" t="s">
        <v>543</v>
      </c>
      <c r="I38" s="276">
        <v>1</v>
      </c>
      <c r="J38" s="524">
        <v>0</v>
      </c>
      <c r="K38" s="524"/>
      <c r="L38" s="525">
        <f>I38*J38</f>
        <v>0</v>
      </c>
      <c r="M38" s="526"/>
      <c r="N38" s="260"/>
    </row>
    <row r="39" spans="1:14" ht="12.75">
      <c r="A39" s="302">
        <v>14</v>
      </c>
      <c r="B39" s="303" t="s">
        <v>716</v>
      </c>
      <c r="C39" s="306" t="s">
        <v>744</v>
      </c>
      <c r="D39" s="523" t="s">
        <v>745</v>
      </c>
      <c r="E39" s="516"/>
      <c r="F39" s="516"/>
      <c r="G39" s="516"/>
      <c r="H39" s="288" t="s">
        <v>543</v>
      </c>
      <c r="I39" s="276">
        <v>2</v>
      </c>
      <c r="J39" s="524">
        <v>0</v>
      </c>
      <c r="K39" s="524"/>
      <c r="L39" s="525">
        <f>I39*J39</f>
        <v>0</v>
      </c>
      <c r="M39" s="526"/>
      <c r="N39" s="260"/>
    </row>
    <row r="40" spans="1:14" ht="12.75">
      <c r="A40" s="302">
        <v>15</v>
      </c>
      <c r="B40" s="303" t="s">
        <v>716</v>
      </c>
      <c r="C40" s="306" t="s">
        <v>746</v>
      </c>
      <c r="D40" s="523" t="s">
        <v>747</v>
      </c>
      <c r="E40" s="516"/>
      <c r="F40" s="516"/>
      <c r="G40" s="516"/>
      <c r="H40" s="288" t="s">
        <v>723</v>
      </c>
      <c r="I40" s="276">
        <v>25.62</v>
      </c>
      <c r="J40" s="524">
        <v>0</v>
      </c>
      <c r="K40" s="524"/>
      <c r="L40" s="525">
        <f>I40*J40</f>
        <v>0</v>
      </c>
      <c r="M40" s="526"/>
      <c r="N40" s="260"/>
    </row>
    <row r="41" spans="1:15" ht="12.75">
      <c r="A41" s="299"/>
      <c r="B41" s="300" t="s">
        <v>709</v>
      </c>
      <c r="C41" s="300"/>
      <c r="D41" s="300"/>
      <c r="E41" s="300"/>
      <c r="F41" s="300"/>
      <c r="G41" s="300"/>
      <c r="H41" s="300"/>
      <c r="I41" s="301"/>
      <c r="J41" s="301"/>
      <c r="K41" s="301"/>
      <c r="L41" s="519">
        <f>L42</f>
        <v>0</v>
      </c>
      <c r="M41" s="520"/>
      <c r="N41" s="297"/>
      <c r="O41" s="298"/>
    </row>
    <row r="42" spans="1:14" ht="13.5" thickBot="1">
      <c r="A42" s="307">
        <v>16</v>
      </c>
      <c r="B42" s="308" t="s">
        <v>716</v>
      </c>
      <c r="C42" s="309" t="s">
        <v>748</v>
      </c>
      <c r="D42" s="538" t="s">
        <v>984</v>
      </c>
      <c r="E42" s="539"/>
      <c r="F42" s="539"/>
      <c r="G42" s="539"/>
      <c r="H42" s="310" t="s">
        <v>544</v>
      </c>
      <c r="I42" s="311">
        <v>1</v>
      </c>
      <c r="J42" s="540">
        <v>0</v>
      </c>
      <c r="K42" s="540"/>
      <c r="L42" s="541">
        <f>ROUND(J42*I42,2)</f>
        <v>0</v>
      </c>
      <c r="M42" s="542"/>
      <c r="N42" s="260"/>
    </row>
    <row r="43" spans="1:14" ht="12.75">
      <c r="A43" s="260"/>
      <c r="B43" s="260"/>
      <c r="C43" s="260"/>
      <c r="D43" s="260"/>
      <c r="E43" s="260"/>
      <c r="F43" s="260"/>
      <c r="G43" s="260"/>
      <c r="H43" s="260"/>
      <c r="I43" s="276"/>
      <c r="J43" s="276"/>
      <c r="K43" s="260"/>
      <c r="L43" s="260"/>
      <c r="M43" s="260"/>
      <c r="N43" s="260"/>
    </row>
    <row r="44" spans="1:15" ht="12.75">
      <c r="A44" s="312"/>
      <c r="B44" s="312"/>
      <c r="C44" s="312"/>
      <c r="D44" s="312"/>
      <c r="E44" s="312"/>
      <c r="F44" s="312"/>
      <c r="G44" s="312"/>
      <c r="H44" s="312"/>
      <c r="I44" s="313"/>
      <c r="J44" s="313"/>
      <c r="K44" s="312"/>
      <c r="L44" s="312"/>
      <c r="M44" s="312"/>
      <c r="N44" s="312"/>
      <c r="O44" s="312"/>
    </row>
    <row r="45" spans="1:15" ht="12.75">
      <c r="A45" s="312"/>
      <c r="B45" s="312"/>
      <c r="C45" s="312"/>
      <c r="D45" s="312"/>
      <c r="E45" s="312"/>
      <c r="F45" s="312"/>
      <c r="G45" s="312"/>
      <c r="H45" s="312"/>
      <c r="I45" s="313"/>
      <c r="J45" s="313"/>
      <c r="K45" s="312"/>
      <c r="L45" s="312"/>
      <c r="M45" s="312"/>
      <c r="N45" s="312"/>
      <c r="O45" s="312"/>
    </row>
  </sheetData>
  <sheetProtection password="CC4E" sheet="1" selectLockedCells="1"/>
  <mergeCells count="63">
    <mergeCell ref="D42:G42"/>
    <mergeCell ref="J42:K42"/>
    <mergeCell ref="L42:M42"/>
    <mergeCell ref="L38:M38"/>
    <mergeCell ref="D39:G39"/>
    <mergeCell ref="J39:K39"/>
    <mergeCell ref="L39:M39"/>
    <mergeCell ref="A1:G1"/>
    <mergeCell ref="D40:G40"/>
    <mergeCell ref="J40:K40"/>
    <mergeCell ref="L40:M40"/>
    <mergeCell ref="L41:M41"/>
    <mergeCell ref="D38:G38"/>
    <mergeCell ref="J38:K38"/>
    <mergeCell ref="C4:J4"/>
    <mergeCell ref="C3:J3"/>
    <mergeCell ref="C2:J2"/>
    <mergeCell ref="L35:M35"/>
    <mergeCell ref="D36:G36"/>
    <mergeCell ref="J36:K36"/>
    <mergeCell ref="L36:M36"/>
    <mergeCell ref="D37:G37"/>
    <mergeCell ref="J37:K37"/>
    <mergeCell ref="L37:M37"/>
    <mergeCell ref="D33:G33"/>
    <mergeCell ref="J33:K33"/>
    <mergeCell ref="L33:M33"/>
    <mergeCell ref="D34:G34"/>
    <mergeCell ref="J34:K34"/>
    <mergeCell ref="L34:M34"/>
    <mergeCell ref="L30:M30"/>
    <mergeCell ref="D31:G31"/>
    <mergeCell ref="J31:K31"/>
    <mergeCell ref="L31:M31"/>
    <mergeCell ref="D32:G32"/>
    <mergeCell ref="J32:K32"/>
    <mergeCell ref="L32:M32"/>
    <mergeCell ref="D28:G28"/>
    <mergeCell ref="J28:K28"/>
    <mergeCell ref="L28:M28"/>
    <mergeCell ref="D29:G29"/>
    <mergeCell ref="J29:K29"/>
    <mergeCell ref="L29:M29"/>
    <mergeCell ref="D25:G25"/>
    <mergeCell ref="J25:K25"/>
    <mergeCell ref="L25:M25"/>
    <mergeCell ref="L26:M26"/>
    <mergeCell ref="D27:G27"/>
    <mergeCell ref="J27:K27"/>
    <mergeCell ref="L27:M27"/>
    <mergeCell ref="L22:M22"/>
    <mergeCell ref="D23:G23"/>
    <mergeCell ref="J23:K23"/>
    <mergeCell ref="L23:M23"/>
    <mergeCell ref="D24:G24"/>
    <mergeCell ref="J24:K24"/>
    <mergeCell ref="L24:M24"/>
    <mergeCell ref="A18:M18"/>
    <mergeCell ref="D19:G19"/>
    <mergeCell ref="J19:K19"/>
    <mergeCell ref="L19:M19"/>
    <mergeCell ref="L20:M20"/>
    <mergeCell ref="L21:M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F11" sqref="F11"/>
    </sheetView>
  </sheetViews>
  <sheetFormatPr defaultColWidth="9.140625" defaultRowHeight="13.5" customHeight="1"/>
  <cols>
    <col min="1" max="1" width="5.421875" style="29" customWidth="1"/>
    <col min="2" max="2" width="6.8515625" style="30" customWidth="1"/>
    <col min="3" max="3" width="53.28125" style="28" customWidth="1"/>
    <col min="4" max="4" width="5.7109375" style="30" customWidth="1"/>
    <col min="5" max="5" width="11.7109375" style="28" customWidth="1"/>
    <col min="6" max="6" width="13.28125" style="31" bestFit="1" customWidth="1"/>
    <col min="7" max="7" width="15.8515625" style="32" bestFit="1" customWidth="1"/>
    <col min="8" max="16384" width="9.140625" style="28" customWidth="1"/>
  </cols>
  <sheetData>
    <row r="1" spans="1:7" ht="15.75" customHeight="1" thickBot="1">
      <c r="A1" s="468" t="s">
        <v>964</v>
      </c>
      <c r="B1" s="468"/>
      <c r="C1" s="468"/>
      <c r="D1" s="468"/>
      <c r="E1" s="468"/>
      <c r="F1" s="468"/>
      <c r="G1" s="468"/>
    </row>
    <row r="2" spans="1:7" ht="24.75" customHeight="1">
      <c r="A2" s="135" t="s">
        <v>918</v>
      </c>
      <c r="B2" s="139" t="s">
        <v>923</v>
      </c>
      <c r="C2" s="494" t="s">
        <v>991</v>
      </c>
      <c r="D2" s="494"/>
      <c r="E2" s="494"/>
      <c r="F2" s="494"/>
      <c r="G2" s="494"/>
    </row>
    <row r="3" spans="1:7" ht="24.75" customHeight="1">
      <c r="A3" s="136" t="s">
        <v>919</v>
      </c>
      <c r="B3" s="138" t="s">
        <v>617</v>
      </c>
      <c r="C3" s="491" t="s">
        <v>968</v>
      </c>
      <c r="D3" s="491"/>
      <c r="E3" s="491"/>
      <c r="F3" s="491"/>
      <c r="G3" s="491"/>
    </row>
    <row r="4" spans="1:7" ht="24.75" customHeight="1" thickBot="1">
      <c r="A4" s="137" t="s">
        <v>922</v>
      </c>
      <c r="B4" s="140" t="s">
        <v>923</v>
      </c>
      <c r="C4" s="490" t="s">
        <v>756</v>
      </c>
      <c r="D4" s="490"/>
      <c r="E4" s="490"/>
      <c r="F4" s="490"/>
      <c r="G4" s="490"/>
    </row>
    <row r="6" ht="13.5" customHeight="1" thickBot="1"/>
    <row r="7" spans="1:7" ht="13.5" customHeight="1" thickBot="1">
      <c r="A7" s="544" t="s">
        <v>818</v>
      </c>
      <c r="B7" s="545"/>
      <c r="C7" s="545"/>
      <c r="D7" s="545"/>
      <c r="E7" s="545"/>
      <c r="F7" s="545"/>
      <c r="G7" s="546"/>
    </row>
    <row r="8" spans="1:7" ht="13.5" customHeight="1">
      <c r="A8" s="51" t="s">
        <v>749</v>
      </c>
      <c r="B8" s="52" t="s">
        <v>750</v>
      </c>
      <c r="C8" s="52" t="s">
        <v>751</v>
      </c>
      <c r="D8" s="52" t="s">
        <v>752</v>
      </c>
      <c r="E8" s="52" t="s">
        <v>753</v>
      </c>
      <c r="F8" s="547" t="s">
        <v>754</v>
      </c>
      <c r="G8" s="548"/>
    </row>
    <row r="9" spans="1:7" ht="13.5" customHeight="1" thickBot="1">
      <c r="A9" s="53" t="s">
        <v>755</v>
      </c>
      <c r="B9" s="54" t="s">
        <v>756</v>
      </c>
      <c r="C9" s="55"/>
      <c r="D9" s="54" t="s">
        <v>757</v>
      </c>
      <c r="E9" s="54" t="s">
        <v>0</v>
      </c>
      <c r="F9" s="56" t="s">
        <v>757</v>
      </c>
      <c r="G9" s="258" t="s">
        <v>860</v>
      </c>
    </row>
    <row r="10" spans="1:7" ht="12.75">
      <c r="A10" s="33"/>
      <c r="B10" s="34"/>
      <c r="C10" s="42" t="s">
        <v>759</v>
      </c>
      <c r="D10" s="34"/>
      <c r="E10" s="35"/>
      <c r="F10" s="91"/>
      <c r="G10" s="92"/>
    </row>
    <row r="11" spans="1:7" ht="13.5" customHeight="1">
      <c r="A11" s="33" t="s">
        <v>760</v>
      </c>
      <c r="B11" s="34"/>
      <c r="C11" s="257" t="s">
        <v>985</v>
      </c>
      <c r="D11" s="34" t="s">
        <v>630</v>
      </c>
      <c r="E11" s="35">
        <v>1</v>
      </c>
      <c r="F11" s="315">
        <v>0</v>
      </c>
      <c r="G11" s="93">
        <f>E11*F11</f>
        <v>0</v>
      </c>
    </row>
    <row r="12" spans="1:7" ht="12.75">
      <c r="A12" s="33"/>
      <c r="B12" s="34"/>
      <c r="C12" s="44" t="s">
        <v>761</v>
      </c>
      <c r="D12" s="34"/>
      <c r="E12" s="35"/>
      <c r="F12" s="94"/>
      <c r="G12" s="93"/>
    </row>
    <row r="13" spans="1:7" ht="12.75">
      <c r="A13" s="33"/>
      <c r="B13" s="34"/>
      <c r="C13" s="45" t="s">
        <v>762</v>
      </c>
      <c r="D13" s="34"/>
      <c r="E13" s="35"/>
      <c r="F13" s="94"/>
      <c r="G13" s="93"/>
    </row>
    <row r="14" spans="1:7" ht="12.75">
      <c r="A14" s="33"/>
      <c r="B14" s="34"/>
      <c r="C14" s="43" t="s">
        <v>763</v>
      </c>
      <c r="D14" s="34"/>
      <c r="E14" s="35"/>
      <c r="F14" s="94"/>
      <c r="G14" s="93"/>
    </row>
    <row r="15" spans="1:7" ht="12.75">
      <c r="A15" s="33"/>
      <c r="B15" s="34"/>
      <c r="C15" s="45" t="s">
        <v>764</v>
      </c>
      <c r="D15" s="34"/>
      <c r="E15" s="35"/>
      <c r="F15" s="94"/>
      <c r="G15" s="93"/>
    </row>
    <row r="16" spans="1:7" ht="12.75">
      <c r="A16" s="33"/>
      <c r="B16" s="34"/>
      <c r="C16" s="43" t="s">
        <v>765</v>
      </c>
      <c r="D16" s="34"/>
      <c r="E16" s="35"/>
      <c r="F16" s="94"/>
      <c r="G16" s="93"/>
    </row>
    <row r="17" spans="1:7" ht="12.75">
      <c r="A17" s="33"/>
      <c r="B17" s="34"/>
      <c r="C17" s="45" t="s">
        <v>766</v>
      </c>
      <c r="D17" s="34"/>
      <c r="E17" s="35"/>
      <c r="F17" s="94"/>
      <c r="G17" s="93"/>
    </row>
    <row r="18" spans="1:7" ht="12.75">
      <c r="A18" s="33"/>
      <c r="B18" s="34"/>
      <c r="C18" s="45" t="s">
        <v>767</v>
      </c>
      <c r="D18" s="34"/>
      <c r="E18" s="35"/>
      <c r="F18" s="94"/>
      <c r="G18" s="93"/>
    </row>
    <row r="19" spans="1:7" ht="12.75">
      <c r="A19" s="33"/>
      <c r="B19" s="34"/>
      <c r="C19" s="45" t="s">
        <v>768</v>
      </c>
      <c r="D19" s="34"/>
      <c r="E19" s="35"/>
      <c r="F19" s="94"/>
      <c r="G19" s="93"/>
    </row>
    <row r="20" spans="1:7" ht="12.75">
      <c r="A20" s="33"/>
      <c r="B20" s="34"/>
      <c r="C20" s="45" t="s">
        <v>769</v>
      </c>
      <c r="D20" s="34"/>
      <c r="E20" s="35"/>
      <c r="F20" s="94"/>
      <c r="G20" s="93"/>
    </row>
    <row r="21" spans="1:7" ht="12.75">
      <c r="A21" s="33"/>
      <c r="B21" s="34"/>
      <c r="C21" s="45" t="s">
        <v>770</v>
      </c>
      <c r="D21" s="34"/>
      <c r="E21" s="35"/>
      <c r="F21" s="94"/>
      <c r="G21" s="93"/>
    </row>
    <row r="22" spans="1:7" ht="25.5">
      <c r="A22" s="33"/>
      <c r="B22" s="34"/>
      <c r="C22" s="45" t="s">
        <v>771</v>
      </c>
      <c r="D22" s="34"/>
      <c r="E22" s="35"/>
      <c r="F22" s="94"/>
      <c r="G22" s="93"/>
    </row>
    <row r="23" spans="1:7" ht="12.75">
      <c r="A23" s="33"/>
      <c r="B23" s="34"/>
      <c r="C23" s="45" t="s">
        <v>772</v>
      </c>
      <c r="D23" s="34"/>
      <c r="E23" s="35"/>
      <c r="F23" s="94"/>
      <c r="G23" s="93"/>
    </row>
    <row r="24" spans="1:7" ht="12.75">
      <c r="A24" s="33"/>
      <c r="B24" s="34"/>
      <c r="C24" s="45" t="s">
        <v>773</v>
      </c>
      <c r="D24" s="34"/>
      <c r="E24" s="35"/>
      <c r="F24" s="94"/>
      <c r="G24" s="93"/>
    </row>
    <row r="25" spans="1:7" ht="12.75">
      <c r="A25" s="33"/>
      <c r="B25" s="34"/>
      <c r="C25" s="249" t="s">
        <v>774</v>
      </c>
      <c r="D25" s="34"/>
      <c r="E25" s="35"/>
      <c r="F25" s="94"/>
      <c r="G25" s="93"/>
    </row>
    <row r="26" spans="1:7" ht="12.75">
      <c r="A26" s="33"/>
      <c r="B26" s="34"/>
      <c r="C26" s="249" t="s">
        <v>775</v>
      </c>
      <c r="D26" s="34"/>
      <c r="E26" s="35"/>
      <c r="F26" s="94"/>
      <c r="G26" s="93"/>
    </row>
    <row r="27" spans="1:7" ht="12.75">
      <c r="A27" s="33"/>
      <c r="B27" s="34"/>
      <c r="C27" s="249" t="s">
        <v>776</v>
      </c>
      <c r="D27" s="34"/>
      <c r="E27" s="35"/>
      <c r="F27" s="94"/>
      <c r="G27" s="93"/>
    </row>
    <row r="28" spans="1:7" ht="12.75">
      <c r="A28" s="33"/>
      <c r="B28" s="34"/>
      <c r="C28" s="249" t="s">
        <v>777</v>
      </c>
      <c r="D28" s="34"/>
      <c r="E28" s="35"/>
      <c r="F28" s="94"/>
      <c r="G28" s="93"/>
    </row>
    <row r="29" spans="1:7" ht="12.75">
      <c r="A29" s="33"/>
      <c r="B29" s="34"/>
      <c r="C29" s="249"/>
      <c r="D29" s="34"/>
      <c r="E29" s="35"/>
      <c r="F29" s="94"/>
      <c r="G29" s="93"/>
    </row>
    <row r="30" spans="1:7" ht="12.75">
      <c r="A30" s="33" t="s">
        <v>778</v>
      </c>
      <c r="B30" s="34"/>
      <c r="C30" s="259" t="s">
        <v>986</v>
      </c>
      <c r="D30" s="34" t="s">
        <v>630</v>
      </c>
      <c r="E30" s="35">
        <v>1</v>
      </c>
      <c r="F30" s="315">
        <v>0</v>
      </c>
      <c r="G30" s="93">
        <f>E30*F30</f>
        <v>0</v>
      </c>
    </row>
    <row r="31" spans="1:7" ht="12.75">
      <c r="A31" s="33"/>
      <c r="B31" s="34"/>
      <c r="C31" s="249" t="s">
        <v>779</v>
      </c>
      <c r="D31" s="34"/>
      <c r="E31" s="35"/>
      <c r="F31" s="94"/>
      <c r="G31" s="93"/>
    </row>
    <row r="32" spans="1:7" ht="12.75">
      <c r="A32" s="33"/>
      <c r="B32" s="34"/>
      <c r="C32" s="249" t="s">
        <v>780</v>
      </c>
      <c r="D32" s="34"/>
      <c r="E32" s="35"/>
      <c r="F32" s="94"/>
      <c r="G32" s="93"/>
    </row>
    <row r="33" spans="1:7" ht="12.75">
      <c r="A33" s="33"/>
      <c r="B33" s="34"/>
      <c r="C33" s="249" t="s">
        <v>781</v>
      </c>
      <c r="D33" s="34"/>
      <c r="E33" s="35"/>
      <c r="F33" s="94"/>
      <c r="G33" s="93"/>
    </row>
    <row r="34" spans="1:7" ht="12.75">
      <c r="A34" s="33"/>
      <c r="B34" s="34"/>
      <c r="C34" s="249" t="s">
        <v>782</v>
      </c>
      <c r="D34" s="34"/>
      <c r="E34" s="35"/>
      <c r="F34" s="94"/>
      <c r="G34" s="93"/>
    </row>
    <row r="35" spans="1:7" ht="12.75" customHeight="1">
      <c r="A35" s="33"/>
      <c r="B35" s="34"/>
      <c r="C35" s="249" t="s">
        <v>956</v>
      </c>
      <c r="D35" s="36"/>
      <c r="E35" s="34"/>
      <c r="F35" s="95"/>
      <c r="G35" s="93"/>
    </row>
    <row r="36" spans="1:7" ht="12.75">
      <c r="A36" s="33"/>
      <c r="B36" s="34"/>
      <c r="C36" s="249" t="s">
        <v>783</v>
      </c>
      <c r="D36" s="36"/>
      <c r="E36" s="34"/>
      <c r="F36" s="95"/>
      <c r="G36" s="93"/>
    </row>
    <row r="37" spans="1:7" ht="12.75">
      <c r="A37" s="33"/>
      <c r="B37" s="34"/>
      <c r="C37" s="249" t="s">
        <v>784</v>
      </c>
      <c r="D37" s="36"/>
      <c r="E37" s="34"/>
      <c r="F37" s="95"/>
      <c r="G37" s="93"/>
    </row>
    <row r="38" spans="1:7" ht="12.75">
      <c r="A38" s="33"/>
      <c r="B38" s="34"/>
      <c r="C38" s="249" t="s">
        <v>785</v>
      </c>
      <c r="D38" s="36"/>
      <c r="E38" s="34"/>
      <c r="F38" s="95"/>
      <c r="G38" s="93"/>
    </row>
    <row r="39" spans="1:7" ht="12.75">
      <c r="A39" s="33"/>
      <c r="B39" s="34"/>
      <c r="C39" s="249"/>
      <c r="D39" s="36"/>
      <c r="E39" s="34"/>
      <c r="F39" s="95"/>
      <c r="G39" s="93"/>
    </row>
    <row r="40" spans="1:7" ht="12.75">
      <c r="A40" s="33" t="s">
        <v>786</v>
      </c>
      <c r="B40" s="34"/>
      <c r="C40" s="248" t="s">
        <v>787</v>
      </c>
      <c r="D40" s="34" t="s">
        <v>630</v>
      </c>
      <c r="E40" s="35">
        <v>12</v>
      </c>
      <c r="F40" s="315">
        <v>0</v>
      </c>
      <c r="G40" s="93">
        <f aca="true" t="shared" si="0" ref="G40:G46">E40*F40</f>
        <v>0</v>
      </c>
    </row>
    <row r="41" spans="1:7" ht="12.75">
      <c r="A41" s="33" t="s">
        <v>788</v>
      </c>
      <c r="B41" s="34"/>
      <c r="C41" s="248" t="s">
        <v>789</v>
      </c>
      <c r="D41" s="34" t="s">
        <v>630</v>
      </c>
      <c r="E41" s="35">
        <v>4</v>
      </c>
      <c r="F41" s="315">
        <v>0</v>
      </c>
      <c r="G41" s="93">
        <f t="shared" si="0"/>
        <v>0</v>
      </c>
    </row>
    <row r="42" spans="1:7" ht="12.75">
      <c r="A42" s="33" t="s">
        <v>790</v>
      </c>
      <c r="B42" s="34"/>
      <c r="C42" s="248" t="s">
        <v>791</v>
      </c>
      <c r="D42" s="34" t="s">
        <v>630</v>
      </c>
      <c r="E42" s="35">
        <v>1</v>
      </c>
      <c r="F42" s="315">
        <v>0</v>
      </c>
      <c r="G42" s="93">
        <f t="shared" si="0"/>
        <v>0</v>
      </c>
    </row>
    <row r="43" spans="1:7" ht="12.75">
      <c r="A43" s="33" t="s">
        <v>792</v>
      </c>
      <c r="B43" s="34"/>
      <c r="C43" s="248" t="s">
        <v>791</v>
      </c>
      <c r="D43" s="34" t="s">
        <v>630</v>
      </c>
      <c r="E43" s="35">
        <v>1</v>
      </c>
      <c r="F43" s="315">
        <v>0</v>
      </c>
      <c r="G43" s="93">
        <f t="shared" si="0"/>
        <v>0</v>
      </c>
    </row>
    <row r="44" spans="1:7" ht="12.75">
      <c r="A44" s="33" t="s">
        <v>793</v>
      </c>
      <c r="B44" s="34"/>
      <c r="C44" s="248" t="s">
        <v>962</v>
      </c>
      <c r="D44" s="34" t="s">
        <v>630</v>
      </c>
      <c r="E44" s="35">
        <v>1</v>
      </c>
      <c r="F44" s="315">
        <v>0</v>
      </c>
      <c r="G44" s="93">
        <f t="shared" si="0"/>
        <v>0</v>
      </c>
    </row>
    <row r="45" spans="1:7" ht="12.75">
      <c r="A45" s="33" t="s">
        <v>794</v>
      </c>
      <c r="B45" s="34"/>
      <c r="C45" s="248" t="s">
        <v>795</v>
      </c>
      <c r="D45" s="34" t="s">
        <v>630</v>
      </c>
      <c r="E45" s="35">
        <v>16</v>
      </c>
      <c r="F45" s="315">
        <v>0</v>
      </c>
      <c r="G45" s="93">
        <f t="shared" si="0"/>
        <v>0</v>
      </c>
    </row>
    <row r="46" spans="1:7" ht="12.75">
      <c r="A46" s="33" t="s">
        <v>796</v>
      </c>
      <c r="B46" s="34"/>
      <c r="C46" s="248" t="s">
        <v>797</v>
      </c>
      <c r="D46" s="34" t="s">
        <v>630</v>
      </c>
      <c r="E46" s="35">
        <v>1</v>
      </c>
      <c r="F46" s="315">
        <v>0</v>
      </c>
      <c r="G46" s="93">
        <f t="shared" si="0"/>
        <v>0</v>
      </c>
    </row>
    <row r="47" spans="1:7" ht="12.75">
      <c r="A47" s="33"/>
      <c r="B47" s="34"/>
      <c r="C47" s="248"/>
      <c r="D47" s="34"/>
      <c r="E47" s="35"/>
      <c r="F47" s="94"/>
      <c r="G47" s="93"/>
    </row>
    <row r="48" spans="1:7" ht="12.75">
      <c r="A48" s="33"/>
      <c r="B48" s="34"/>
      <c r="C48" s="37" t="s">
        <v>798</v>
      </c>
      <c r="D48" s="34"/>
      <c r="E48" s="35"/>
      <c r="F48" s="94"/>
      <c r="G48" s="93"/>
    </row>
    <row r="49" spans="1:7" ht="12.75">
      <c r="A49" s="33"/>
      <c r="B49" s="34"/>
      <c r="C49" s="34" t="s">
        <v>799</v>
      </c>
      <c r="D49" s="34" t="s">
        <v>800</v>
      </c>
      <c r="E49" s="35">
        <v>63</v>
      </c>
      <c r="F49" s="315">
        <v>0</v>
      </c>
      <c r="G49" s="93">
        <f>E49*F49</f>
        <v>0</v>
      </c>
    </row>
    <row r="50" spans="1:7" ht="12.75">
      <c r="A50" s="33"/>
      <c r="B50" s="34"/>
      <c r="C50" s="34" t="s">
        <v>801</v>
      </c>
      <c r="D50" s="34" t="s">
        <v>800</v>
      </c>
      <c r="E50" s="35">
        <v>20</v>
      </c>
      <c r="F50" s="315">
        <v>0</v>
      </c>
      <c r="G50" s="93">
        <f>E50*F50</f>
        <v>0</v>
      </c>
    </row>
    <row r="51" spans="1:7" ht="12.75">
      <c r="A51" s="33"/>
      <c r="B51" s="34"/>
      <c r="C51" s="37" t="s">
        <v>802</v>
      </c>
      <c r="D51" s="34"/>
      <c r="E51" s="35"/>
      <c r="F51" s="94"/>
      <c r="G51" s="93"/>
    </row>
    <row r="52" spans="1:7" ht="12.75">
      <c r="A52" s="33"/>
      <c r="B52" s="34"/>
      <c r="C52" s="34" t="s">
        <v>799</v>
      </c>
      <c r="D52" s="34" t="s">
        <v>800</v>
      </c>
      <c r="E52" s="35">
        <v>45</v>
      </c>
      <c r="F52" s="315">
        <v>0</v>
      </c>
      <c r="G52" s="93">
        <f>E52*F52</f>
        <v>0</v>
      </c>
    </row>
    <row r="53" spans="1:7" ht="12.75">
      <c r="A53" s="33"/>
      <c r="B53" s="34"/>
      <c r="C53" s="34" t="s">
        <v>801</v>
      </c>
      <c r="D53" s="34" t="s">
        <v>800</v>
      </c>
      <c r="E53" s="35">
        <v>15</v>
      </c>
      <c r="F53" s="315">
        <v>0</v>
      </c>
      <c r="G53" s="93">
        <f>E53*F53</f>
        <v>0</v>
      </c>
    </row>
    <row r="54" spans="1:7" ht="12.75">
      <c r="A54" s="33"/>
      <c r="B54" s="34"/>
      <c r="C54" s="34"/>
      <c r="D54" s="34"/>
      <c r="E54" s="35"/>
      <c r="F54" s="94"/>
      <c r="G54" s="93"/>
    </row>
    <row r="55" spans="1:7" ht="12.75">
      <c r="A55" s="33"/>
      <c r="B55" s="34"/>
      <c r="C55" s="38" t="s">
        <v>803</v>
      </c>
      <c r="D55" s="34" t="s">
        <v>804</v>
      </c>
      <c r="E55" s="35">
        <v>55</v>
      </c>
      <c r="F55" s="315">
        <v>0</v>
      </c>
      <c r="G55" s="93">
        <f>E55*F55</f>
        <v>0</v>
      </c>
    </row>
    <row r="56" spans="1:7" ht="12.75">
      <c r="A56" s="33"/>
      <c r="B56" s="34"/>
      <c r="C56" s="39" t="s">
        <v>805</v>
      </c>
      <c r="D56" s="34" t="s">
        <v>804</v>
      </c>
      <c r="E56" s="35">
        <v>45</v>
      </c>
      <c r="F56" s="315">
        <v>0</v>
      </c>
      <c r="G56" s="93">
        <f>E56*F56</f>
        <v>0</v>
      </c>
    </row>
    <row r="57" spans="1:7" ht="12.75">
      <c r="A57" s="33"/>
      <c r="B57" s="34"/>
      <c r="C57" s="37"/>
      <c r="D57" s="34"/>
      <c r="E57" s="35"/>
      <c r="F57" s="94"/>
      <c r="G57" s="93"/>
    </row>
    <row r="58" spans="1:7" ht="12.75">
      <c r="A58" s="33"/>
      <c r="B58" s="34"/>
      <c r="C58" s="40" t="s">
        <v>806</v>
      </c>
      <c r="D58" s="34" t="s">
        <v>804</v>
      </c>
      <c r="E58" s="35">
        <v>68</v>
      </c>
      <c r="F58" s="315">
        <v>0</v>
      </c>
      <c r="G58" s="93">
        <f>E58*F58</f>
        <v>0</v>
      </c>
    </row>
    <row r="59" spans="1:7" ht="12.75">
      <c r="A59" s="33"/>
      <c r="B59" s="34"/>
      <c r="C59" s="248" t="s">
        <v>807</v>
      </c>
      <c r="D59" s="34" t="s">
        <v>808</v>
      </c>
      <c r="E59" s="35">
        <v>1</v>
      </c>
      <c r="F59" s="315">
        <v>0</v>
      </c>
      <c r="G59" s="93">
        <f>E59*F59</f>
        <v>0</v>
      </c>
    </row>
    <row r="60" spans="1:7" ht="12.75">
      <c r="A60" s="33"/>
      <c r="B60" s="34"/>
      <c r="C60" s="248" t="s">
        <v>809</v>
      </c>
      <c r="D60" s="34" t="s">
        <v>808</v>
      </c>
      <c r="E60" s="35">
        <v>1</v>
      </c>
      <c r="F60" s="315">
        <v>0</v>
      </c>
      <c r="G60" s="93">
        <f>E60*F60</f>
        <v>0</v>
      </c>
    </row>
    <row r="61" spans="1:7" ht="12.75">
      <c r="A61" s="33"/>
      <c r="B61" s="34"/>
      <c r="C61" s="248" t="s">
        <v>810</v>
      </c>
      <c r="D61" s="34" t="s">
        <v>808</v>
      </c>
      <c r="E61" s="35">
        <v>1</v>
      </c>
      <c r="F61" s="315">
        <v>0</v>
      </c>
      <c r="G61" s="93">
        <f>E61*F61</f>
        <v>0</v>
      </c>
    </row>
    <row r="62" spans="1:7" ht="13.5" customHeight="1" thickBot="1">
      <c r="A62" s="41"/>
      <c r="B62" s="46"/>
      <c r="C62" s="250" t="s">
        <v>811</v>
      </c>
      <c r="D62" s="46"/>
      <c r="E62" s="47"/>
      <c r="F62" s="96"/>
      <c r="G62" s="97">
        <f>SUM(G11:G61)</f>
        <v>0</v>
      </c>
    </row>
    <row r="64" ht="13.5" customHeight="1">
      <c r="C64" s="543"/>
    </row>
    <row r="65" ht="13.5" customHeight="1">
      <c r="C65" s="543"/>
    </row>
    <row r="66" ht="13.5" customHeight="1">
      <c r="C66" s="543"/>
    </row>
    <row r="67" ht="13.5" customHeight="1">
      <c r="C67" s="543"/>
    </row>
    <row r="68" ht="13.5" customHeight="1">
      <c r="C68" s="543"/>
    </row>
    <row r="69" ht="13.5" customHeight="1">
      <c r="C69" s="543"/>
    </row>
  </sheetData>
  <sheetProtection password="CC4E" sheet="1" selectLockedCells="1"/>
  <protectedRanges>
    <protectedRange sqref="F11 F30 F40:F46 F49:F50 F52:F53 F55:F56 F58:F61" name="Oblast1_5"/>
  </protectedRanges>
  <mergeCells count="7">
    <mergeCell ref="C64:C69"/>
    <mergeCell ref="A7:G7"/>
    <mergeCell ref="F8:G8"/>
    <mergeCell ref="A1:G1"/>
    <mergeCell ref="C2:G2"/>
    <mergeCell ref="C3:G3"/>
    <mergeCell ref="C4:G4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Neugebauerová</dc:creator>
  <cp:keywords/>
  <dc:description/>
  <cp:lastModifiedBy>Marešová Tereza, Bc.</cp:lastModifiedBy>
  <cp:lastPrinted>2017-07-04T07:15:14Z</cp:lastPrinted>
  <dcterms:created xsi:type="dcterms:W3CDTF">2017-06-26T08:36:47Z</dcterms:created>
  <dcterms:modified xsi:type="dcterms:W3CDTF">2017-08-16T11:04:21Z</dcterms:modified>
  <cp:category/>
  <cp:version/>
  <cp:contentType/>
  <cp:contentStatus/>
</cp:coreProperties>
</file>